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8125"/>
  <workbookPr showInkAnnotation="0" autoCompressPictures="0"/>
  <bookViews>
    <workbookView xWindow="2080" yWindow="680" windowWidth="28560" windowHeight="17580" tabRatio="1000"/>
  </bookViews>
  <sheets>
    <sheet name="sommaire" sheetId="8" r:id="rId1"/>
    <sheet name="bilan" sheetId="7" r:id="rId2"/>
    <sheet name="jour_1" sheetId="5" r:id="rId3"/>
    <sheet name="jour_2" sheetId="9" r:id="rId4"/>
    <sheet name="jour_3" sheetId="10" r:id="rId5"/>
    <sheet name="jour_4" sheetId="11" r:id="rId6"/>
    <sheet name="jour_5" sheetId="14" r:id="rId7"/>
    <sheet name="jour_6" sheetId="13" r:id="rId8"/>
    <sheet name="jour_7" sheetId="17" r:id="rId9"/>
    <sheet name="jour_8" sheetId="18" r:id="rId10"/>
    <sheet name="jour_9" sheetId="19" r:id="rId11"/>
    <sheet name="jour_10" sheetId="20" r:id="rId12"/>
    <sheet name="jour_11" sheetId="21" r:id="rId13"/>
    <sheet name="jour_12" sheetId="22" r:id="rId14"/>
    <sheet name="jour_13" sheetId="23" r:id="rId15"/>
    <sheet name="jour_14" sheetId="24" r:id="rId16"/>
    <sheet name="jour_15" sheetId="25" r:id="rId17"/>
    <sheet name="jour_16" sheetId="26" r:id="rId18"/>
    <sheet name="jour_17" sheetId="27" r:id="rId19"/>
    <sheet name="jour_18" sheetId="28" r:id="rId20"/>
    <sheet name="jour_19" sheetId="29" r:id="rId21"/>
    <sheet name="jour_20" sheetId="30" r:id="rId22"/>
    <sheet name="jour_21" sheetId="31" r:id="rId23"/>
    <sheet name="jour_22" sheetId="32" r:id="rId24"/>
    <sheet name="jour_23" sheetId="33" r:id="rId25"/>
    <sheet name="jour_24" sheetId="34" r:id="rId26"/>
    <sheet name="jour_25" sheetId="35" r:id="rId27"/>
    <sheet name="jour_26" sheetId="36" r:id="rId28"/>
    <sheet name="jour_27" sheetId="37" r:id="rId29"/>
    <sheet name="jour_28" sheetId="38" r:id="rId30"/>
    <sheet name="d" sheetId="6" r:id="rId3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D8" i="20" l="1"/>
  <c r="D8" i="22"/>
  <c r="A75" i="14"/>
  <c r="E75" i="14"/>
  <c r="M13" i="14"/>
  <c r="D12" i="14"/>
  <c r="M18" i="14"/>
  <c r="J56" i="14"/>
  <c r="J57" i="14"/>
  <c r="J58" i="14"/>
  <c r="J59" i="14"/>
  <c r="J60" i="14"/>
  <c r="J61" i="14"/>
  <c r="J62" i="14"/>
  <c r="J63" i="14"/>
  <c r="J64" i="14"/>
  <c r="J65" i="14"/>
  <c r="K66" i="14"/>
  <c r="F77" i="10"/>
  <c r="D36" i="7"/>
  <c r="E71" i="37"/>
  <c r="E72" i="37"/>
  <c r="E73" i="37"/>
  <c r="E74" i="37"/>
  <c r="E75" i="37"/>
  <c r="E76" i="37"/>
  <c r="E77" i="37"/>
  <c r="E78" i="37"/>
  <c r="F79" i="37"/>
  <c r="E46" i="37"/>
  <c r="E47" i="37"/>
  <c r="F48" i="37"/>
  <c r="A64" i="37"/>
  <c r="A35" i="36"/>
  <c r="E61" i="36"/>
  <c r="E62" i="36"/>
  <c r="E63" i="36"/>
  <c r="E64" i="36"/>
  <c r="E65" i="36"/>
  <c r="A66" i="36"/>
  <c r="E66" i="36"/>
  <c r="E67" i="36"/>
  <c r="F68" i="36"/>
  <c r="E42" i="36"/>
  <c r="E43" i="36"/>
  <c r="F44" i="36"/>
  <c r="E51" i="35"/>
  <c r="F52" i="35"/>
  <c r="A39" i="35"/>
  <c r="A38" i="34"/>
  <c r="E46" i="34"/>
  <c r="E47" i="34"/>
  <c r="F48" i="34"/>
  <c r="E68" i="33"/>
  <c r="E69" i="33"/>
  <c r="E70" i="33"/>
  <c r="E71" i="33"/>
  <c r="E72" i="33"/>
  <c r="F73" i="33"/>
  <c r="A38" i="33"/>
  <c r="A51" i="33"/>
  <c r="E52" i="32"/>
  <c r="E53" i="32"/>
  <c r="E54" i="32"/>
  <c r="F55" i="32"/>
  <c r="A67" i="32"/>
  <c r="E63" i="31"/>
  <c r="A64" i="31"/>
  <c r="E64" i="31"/>
  <c r="E65" i="31"/>
  <c r="A66" i="31"/>
  <c r="E66" i="31"/>
  <c r="E67" i="31"/>
  <c r="E68" i="31"/>
  <c r="E69" i="31"/>
  <c r="E70" i="31"/>
  <c r="E71" i="31"/>
  <c r="F72" i="31"/>
  <c r="E73" i="30"/>
  <c r="A74" i="30"/>
  <c r="E74" i="30"/>
  <c r="E75" i="30"/>
  <c r="A76" i="30"/>
  <c r="E76" i="30"/>
  <c r="F77" i="30"/>
  <c r="E55" i="30"/>
  <c r="F56" i="30"/>
  <c r="E62" i="29"/>
  <c r="E63" i="29"/>
  <c r="E64" i="29"/>
  <c r="E65" i="29"/>
  <c r="E66" i="29"/>
  <c r="A67" i="29"/>
  <c r="E67" i="29"/>
  <c r="A68" i="29"/>
  <c r="E68" i="29"/>
  <c r="E69" i="29"/>
  <c r="E70" i="29"/>
  <c r="F71" i="29"/>
  <c r="E75" i="28"/>
  <c r="A76" i="28"/>
  <c r="E76" i="28"/>
  <c r="E77" i="28"/>
  <c r="E78" i="28"/>
  <c r="F79" i="28"/>
  <c r="E55" i="28"/>
  <c r="E56" i="28"/>
  <c r="F57" i="28"/>
  <c r="E51" i="28"/>
  <c r="E69" i="27"/>
  <c r="E70" i="27"/>
  <c r="E71" i="27"/>
  <c r="E72" i="27"/>
  <c r="E73" i="27"/>
  <c r="E74" i="27"/>
  <c r="E75" i="27"/>
  <c r="F76" i="27"/>
  <c r="A39" i="26"/>
  <c r="E68" i="26"/>
  <c r="A69" i="26"/>
  <c r="E69" i="26"/>
  <c r="A70" i="26"/>
  <c r="E70" i="26"/>
  <c r="E71" i="26"/>
  <c r="A72" i="26"/>
  <c r="E72" i="26"/>
  <c r="A73" i="26"/>
  <c r="E73" i="26"/>
  <c r="E74" i="26"/>
  <c r="F75" i="26"/>
  <c r="E50" i="26"/>
  <c r="F51" i="26"/>
  <c r="A38" i="25"/>
  <c r="E47" i="25"/>
  <c r="E48" i="25"/>
  <c r="F49" i="25"/>
  <c r="A59" i="25"/>
  <c r="A34" i="24"/>
  <c r="A35" i="24"/>
  <c r="E50" i="23"/>
  <c r="F51" i="23"/>
  <c r="E69" i="23"/>
  <c r="E70" i="23"/>
  <c r="A71" i="23"/>
  <c r="E71" i="23"/>
  <c r="E72" i="23"/>
  <c r="E73" i="23"/>
  <c r="F74" i="23"/>
  <c r="A34" i="23"/>
  <c r="A58" i="22"/>
  <c r="E49" i="22"/>
  <c r="E50" i="22"/>
  <c r="F51" i="22"/>
  <c r="E69" i="21"/>
  <c r="E70" i="21"/>
  <c r="E71" i="21"/>
  <c r="E72" i="21"/>
  <c r="E73" i="21"/>
  <c r="F74" i="21"/>
  <c r="E50" i="21"/>
  <c r="E51" i="21"/>
  <c r="F52" i="21"/>
  <c r="A43" i="21"/>
  <c r="E70" i="20"/>
  <c r="E71" i="20"/>
  <c r="E72" i="20"/>
  <c r="E73" i="20"/>
  <c r="F74" i="20"/>
  <c r="E49" i="20"/>
  <c r="F50" i="20"/>
  <c r="E54" i="19"/>
  <c r="E55" i="19"/>
  <c r="F56" i="19"/>
  <c r="E70" i="18"/>
  <c r="E71" i="18"/>
  <c r="E72" i="18"/>
  <c r="E73" i="18"/>
  <c r="E74" i="18"/>
  <c r="A75" i="18"/>
  <c r="E75" i="18"/>
  <c r="E76" i="18"/>
  <c r="F77" i="18"/>
  <c r="E42" i="18"/>
  <c r="E53" i="17"/>
  <c r="F54" i="17"/>
  <c r="E49" i="17"/>
  <c r="E31" i="13"/>
  <c r="E40" i="13"/>
  <c r="E37" i="13"/>
  <c r="E32" i="13"/>
  <c r="E33" i="13"/>
  <c r="A34" i="13"/>
  <c r="E34" i="13"/>
  <c r="E35" i="13"/>
  <c r="E36" i="13"/>
  <c r="E38" i="13"/>
  <c r="E39" i="13"/>
  <c r="E41" i="13"/>
  <c r="E42" i="13"/>
  <c r="E43" i="13"/>
  <c r="E45" i="13"/>
  <c r="F46" i="13"/>
  <c r="E69" i="13"/>
  <c r="E62" i="13"/>
  <c r="E68" i="13"/>
  <c r="E55" i="13"/>
  <c r="E56" i="13"/>
  <c r="E57" i="13"/>
  <c r="E58" i="13"/>
  <c r="A59" i="13"/>
  <c r="E59" i="13"/>
  <c r="E60" i="13"/>
  <c r="E61" i="13"/>
  <c r="E63" i="13"/>
  <c r="E64" i="13"/>
  <c r="E65" i="13"/>
  <c r="E66" i="13"/>
  <c r="F70" i="13"/>
  <c r="E22" i="13"/>
  <c r="E23" i="13"/>
  <c r="E24" i="13"/>
  <c r="E25" i="13"/>
  <c r="E26" i="13"/>
  <c r="E27" i="13"/>
  <c r="F28" i="13"/>
  <c r="E49" i="13"/>
  <c r="E50" i="13"/>
  <c r="F51" i="13"/>
  <c r="F73" i="13"/>
  <c r="D3" i="13"/>
  <c r="A71" i="13"/>
  <c r="E71" i="13"/>
  <c r="D7" i="13"/>
  <c r="D11" i="13"/>
  <c r="M13" i="13"/>
  <c r="D12" i="13"/>
  <c r="M18" i="13"/>
  <c r="J22" i="13"/>
  <c r="J23" i="13"/>
  <c r="J24" i="13"/>
  <c r="J25" i="13"/>
  <c r="J26" i="13"/>
  <c r="J27" i="13"/>
  <c r="J31" i="13"/>
  <c r="J32" i="13"/>
  <c r="J33" i="13"/>
  <c r="J34" i="13"/>
  <c r="J35" i="13"/>
  <c r="J36" i="13"/>
  <c r="J37" i="13"/>
  <c r="J38" i="13"/>
  <c r="J39" i="13"/>
  <c r="J40" i="13"/>
  <c r="J41" i="13"/>
  <c r="J42" i="13"/>
  <c r="J43" i="13"/>
  <c r="J45" i="13"/>
  <c r="J49" i="13"/>
  <c r="J50" i="13"/>
  <c r="J55" i="13"/>
  <c r="J56" i="13"/>
  <c r="J57" i="13"/>
  <c r="J58" i="13"/>
  <c r="J59" i="13"/>
  <c r="J60" i="13"/>
  <c r="J61" i="13"/>
  <c r="J62" i="13"/>
  <c r="J63" i="13"/>
  <c r="J64" i="13"/>
  <c r="J65" i="13"/>
  <c r="J66" i="13"/>
  <c r="J68" i="13"/>
  <c r="J69" i="13"/>
  <c r="E51" i="14"/>
  <c r="E52" i="14"/>
  <c r="F53" i="14"/>
  <c r="E68" i="14"/>
  <c r="E69" i="14"/>
  <c r="E70" i="14"/>
  <c r="E71" i="14"/>
  <c r="E72" i="14"/>
  <c r="E73" i="14"/>
  <c r="F74" i="14"/>
  <c r="E68" i="11"/>
  <c r="E69" i="11"/>
  <c r="E70" i="11"/>
  <c r="A71" i="11"/>
  <c r="E71" i="11"/>
  <c r="E72" i="11"/>
  <c r="F73" i="11"/>
  <c r="A64" i="11"/>
  <c r="E49" i="11"/>
  <c r="F50" i="11"/>
  <c r="E69" i="9"/>
  <c r="E70" i="9"/>
  <c r="E71" i="9"/>
  <c r="E72" i="9"/>
  <c r="E73" i="9"/>
  <c r="E74" i="9"/>
  <c r="E75" i="9"/>
  <c r="E76" i="9"/>
  <c r="E77" i="9"/>
  <c r="F78" i="9"/>
  <c r="E49" i="9"/>
  <c r="E50" i="9"/>
  <c r="F51" i="9"/>
  <c r="E5" i="5"/>
  <c r="E58" i="5"/>
  <c r="E64" i="5"/>
  <c r="E65" i="5"/>
  <c r="E66" i="5"/>
  <c r="E67" i="5"/>
  <c r="E68" i="5"/>
  <c r="F69" i="5"/>
  <c r="E69" i="35"/>
  <c r="E70" i="35"/>
  <c r="E71" i="35"/>
  <c r="E72" i="35"/>
  <c r="E73" i="35"/>
  <c r="E74" i="35"/>
  <c r="F75" i="35"/>
  <c r="E25" i="29"/>
  <c r="E31" i="28"/>
  <c r="E32" i="28"/>
  <c r="E33" i="28"/>
  <c r="E34" i="28"/>
  <c r="A35" i="28"/>
  <c r="E35" i="28"/>
  <c r="E36" i="28"/>
  <c r="E37" i="28"/>
  <c r="E38" i="28"/>
  <c r="E39" i="28"/>
  <c r="E40" i="28"/>
  <c r="E41" i="28"/>
  <c r="E42" i="28"/>
  <c r="A43" i="28"/>
  <c r="E43" i="28"/>
  <c r="E44" i="28"/>
  <c r="A45" i="28"/>
  <c r="E45" i="28"/>
  <c r="E46" i="28"/>
  <c r="E47" i="28"/>
  <c r="E48" i="28"/>
  <c r="E49" i="28"/>
  <c r="F52" i="28"/>
  <c r="E75" i="24"/>
  <c r="A76" i="24"/>
  <c r="E76" i="24"/>
  <c r="E77" i="24"/>
  <c r="E78" i="24"/>
  <c r="E79" i="24"/>
  <c r="F80" i="24"/>
  <c r="E69" i="22"/>
  <c r="F70" i="22"/>
  <c r="A65" i="18"/>
  <c r="E68" i="10"/>
  <c r="E69" i="10"/>
  <c r="E70" i="10"/>
  <c r="E71" i="10"/>
  <c r="E72" i="10"/>
  <c r="E73" i="10"/>
  <c r="E74" i="10"/>
  <c r="E75" i="10"/>
  <c r="E76" i="10"/>
  <c r="E48" i="5"/>
  <c r="F49" i="5"/>
  <c r="E22" i="5"/>
  <c r="E23" i="5"/>
  <c r="E24" i="5"/>
  <c r="E25" i="5"/>
  <c r="E26" i="5"/>
  <c r="E27" i="5"/>
  <c r="E28" i="5"/>
  <c r="E29" i="5"/>
  <c r="F30" i="5"/>
  <c r="E33" i="5"/>
  <c r="E34" i="5"/>
  <c r="E35" i="5"/>
  <c r="E36" i="5"/>
  <c r="E37" i="5"/>
  <c r="E38" i="5"/>
  <c r="E39" i="5"/>
  <c r="E40" i="5"/>
  <c r="E41" i="5"/>
  <c r="E42" i="5"/>
  <c r="E44" i="5"/>
  <c r="F45" i="5"/>
  <c r="E52" i="5"/>
  <c r="E53" i="5"/>
  <c r="E54" i="5"/>
  <c r="E55" i="5"/>
  <c r="E56" i="5"/>
  <c r="E57" i="5"/>
  <c r="E59" i="5"/>
  <c r="F62" i="5"/>
  <c r="F72" i="5"/>
  <c r="D3" i="5"/>
  <c r="A70" i="5"/>
  <c r="E70" i="5"/>
  <c r="D11" i="5"/>
  <c r="M13" i="5"/>
  <c r="D12" i="5"/>
  <c r="M18" i="5"/>
  <c r="J65" i="5"/>
  <c r="J66" i="5"/>
  <c r="J67" i="5"/>
  <c r="J68" i="5"/>
  <c r="J53" i="5"/>
  <c r="J54" i="5"/>
  <c r="J55" i="5"/>
  <c r="J56" i="5"/>
  <c r="J57" i="5"/>
  <c r="J58" i="5"/>
  <c r="J59" i="5"/>
  <c r="E60" i="5"/>
  <c r="J60" i="5"/>
  <c r="E61" i="5"/>
  <c r="J61" i="5"/>
  <c r="J34" i="5"/>
  <c r="J35" i="5"/>
  <c r="J36" i="5"/>
  <c r="J37" i="5"/>
  <c r="J38" i="5"/>
  <c r="J39" i="5"/>
  <c r="J40" i="5"/>
  <c r="J41" i="5"/>
  <c r="J42" i="5"/>
  <c r="J23" i="5"/>
  <c r="J24" i="5"/>
  <c r="J25" i="5"/>
  <c r="J26" i="5"/>
  <c r="J27" i="5"/>
  <c r="J28" i="5"/>
  <c r="J29" i="5"/>
  <c r="I41" i="7"/>
  <c r="I42" i="7"/>
  <c r="E44" i="7"/>
  <c r="B41" i="7"/>
  <c r="D43" i="7"/>
  <c r="D35" i="7"/>
  <c r="D37" i="7"/>
  <c r="C40" i="7"/>
  <c r="D45" i="7"/>
  <c r="D48" i="7"/>
  <c r="C42" i="7"/>
  <c r="C41" i="7"/>
  <c r="B3" i="6"/>
  <c r="B4" i="6"/>
  <c r="B5" i="6"/>
  <c r="B6" i="6"/>
  <c r="B7" i="6"/>
  <c r="B8" i="6"/>
  <c r="B9" i="6"/>
  <c r="B10" i="6"/>
  <c r="B11" i="6"/>
  <c r="B12" i="6"/>
  <c r="B13" i="6"/>
  <c r="B14" i="6"/>
  <c r="B15" i="6"/>
  <c r="B16" i="6"/>
  <c r="B2" i="6"/>
  <c r="E22" i="30"/>
  <c r="E23" i="30"/>
  <c r="E24" i="30"/>
  <c r="E25" i="30"/>
  <c r="E26" i="30"/>
  <c r="E27" i="30"/>
  <c r="E28" i="30"/>
  <c r="E29" i="30"/>
  <c r="F30" i="30"/>
  <c r="A33" i="30"/>
  <c r="E33" i="30"/>
  <c r="E34" i="30"/>
  <c r="E35" i="30"/>
  <c r="E36" i="30"/>
  <c r="E37" i="30"/>
  <c r="A38" i="30"/>
  <c r="E38" i="30"/>
  <c r="E39" i="30"/>
  <c r="A40" i="30"/>
  <c r="E40" i="30"/>
  <c r="E41" i="30"/>
  <c r="E42" i="30"/>
  <c r="E43" i="30"/>
  <c r="E44" i="30"/>
  <c r="E45" i="30"/>
  <c r="E46" i="30"/>
  <c r="E47" i="30"/>
  <c r="E48" i="30"/>
  <c r="E49" i="30"/>
  <c r="E51" i="30"/>
  <c r="F52" i="30"/>
  <c r="E59" i="30"/>
  <c r="E60" i="30"/>
  <c r="E61" i="30"/>
  <c r="E62" i="30"/>
  <c r="A63" i="30"/>
  <c r="E63" i="30"/>
  <c r="E64" i="30"/>
  <c r="E65" i="30"/>
  <c r="E66" i="30"/>
  <c r="E67" i="30"/>
  <c r="E68" i="30"/>
  <c r="E69" i="30"/>
  <c r="E70" i="30"/>
  <c r="F71" i="30"/>
  <c r="F80" i="30"/>
  <c r="D3" i="30"/>
  <c r="A78" i="30"/>
  <c r="E78" i="30"/>
  <c r="D7" i="30"/>
  <c r="D11" i="30"/>
  <c r="M13" i="30"/>
  <c r="D12" i="30"/>
  <c r="M18" i="30"/>
  <c r="J22" i="30"/>
  <c r="J23" i="30"/>
  <c r="J24" i="30"/>
  <c r="J25" i="30"/>
  <c r="J26" i="30"/>
  <c r="J27" i="30"/>
  <c r="J28" i="30"/>
  <c r="J29" i="30"/>
  <c r="K30" i="30"/>
  <c r="J33" i="30"/>
  <c r="J34" i="30"/>
  <c r="J35" i="30"/>
  <c r="J36" i="30"/>
  <c r="J37" i="30"/>
  <c r="J38" i="30"/>
  <c r="J39" i="30"/>
  <c r="J40" i="30"/>
  <c r="J41" i="30"/>
  <c r="J42" i="30"/>
  <c r="J43" i="30"/>
  <c r="J44" i="30"/>
  <c r="J45" i="30"/>
  <c r="J46" i="30"/>
  <c r="J47" i="30"/>
  <c r="J48" i="30"/>
  <c r="J49" i="30"/>
  <c r="J51" i="30"/>
  <c r="K52" i="30"/>
  <c r="J55" i="30"/>
  <c r="K56" i="30"/>
  <c r="J59" i="30"/>
  <c r="J60" i="30"/>
  <c r="J61" i="30"/>
  <c r="J62" i="30"/>
  <c r="J63" i="30"/>
  <c r="J64" i="30"/>
  <c r="J65" i="30"/>
  <c r="J66" i="30"/>
  <c r="J67" i="30"/>
  <c r="J68" i="30"/>
  <c r="J69" i="30"/>
  <c r="J70" i="30"/>
  <c r="K71" i="30"/>
  <c r="J73" i="30"/>
  <c r="J74" i="30"/>
  <c r="J75" i="30"/>
  <c r="J76" i="30"/>
  <c r="K77" i="30"/>
  <c r="K80" i="30"/>
  <c r="E22" i="29"/>
  <c r="E23" i="29"/>
  <c r="E24" i="29"/>
  <c r="E26" i="29"/>
  <c r="E27" i="29"/>
  <c r="E28" i="29"/>
  <c r="F29" i="29"/>
  <c r="E32" i="29"/>
  <c r="E33" i="29"/>
  <c r="E34" i="29"/>
  <c r="A35" i="29"/>
  <c r="E35" i="29"/>
  <c r="A36" i="29"/>
  <c r="E36" i="29"/>
  <c r="E37" i="29"/>
  <c r="E38" i="29"/>
  <c r="E39" i="29"/>
  <c r="E41" i="29"/>
  <c r="E42" i="29"/>
  <c r="F43" i="29"/>
  <c r="E46" i="29"/>
  <c r="F47" i="29"/>
  <c r="E50" i="29"/>
  <c r="E51" i="29"/>
  <c r="E52" i="29"/>
  <c r="E53" i="29"/>
  <c r="E54" i="29"/>
  <c r="E55" i="29"/>
  <c r="E56" i="29"/>
  <c r="E57" i="29"/>
  <c r="E58" i="29"/>
  <c r="E59" i="29"/>
  <c r="F60" i="29"/>
  <c r="F74" i="29"/>
  <c r="D3" i="29"/>
  <c r="A72" i="29"/>
  <c r="E72" i="29"/>
  <c r="D7" i="29"/>
  <c r="D11" i="29"/>
  <c r="M13" i="29"/>
  <c r="D12" i="29"/>
  <c r="M18" i="29"/>
  <c r="J22" i="29"/>
  <c r="J23" i="29"/>
  <c r="J24" i="29"/>
  <c r="J25" i="29"/>
  <c r="J26" i="29"/>
  <c r="J27" i="29"/>
  <c r="J28" i="29"/>
  <c r="K29" i="29"/>
  <c r="J32" i="29"/>
  <c r="J33" i="29"/>
  <c r="J34" i="29"/>
  <c r="J35" i="29"/>
  <c r="J36" i="29"/>
  <c r="J37" i="29"/>
  <c r="J38" i="29"/>
  <c r="J39" i="29"/>
  <c r="J41" i="29"/>
  <c r="J42" i="29"/>
  <c r="K43" i="29"/>
  <c r="J46" i="29"/>
  <c r="K47" i="29"/>
  <c r="J50" i="29"/>
  <c r="J51" i="29"/>
  <c r="J52" i="29"/>
  <c r="J53" i="29"/>
  <c r="J54" i="29"/>
  <c r="J55" i="29"/>
  <c r="J56" i="29"/>
  <c r="J57" i="29"/>
  <c r="J58" i="29"/>
  <c r="J59" i="29"/>
  <c r="K60" i="29"/>
  <c r="J62" i="29"/>
  <c r="J63" i="29"/>
  <c r="J64" i="29"/>
  <c r="J65" i="29"/>
  <c r="J66" i="29"/>
  <c r="J67" i="29"/>
  <c r="J68" i="29"/>
  <c r="J69" i="29"/>
  <c r="J70" i="29"/>
  <c r="K71" i="29"/>
  <c r="K74" i="29"/>
  <c r="E60" i="28"/>
  <c r="E61" i="28"/>
  <c r="E62" i="28"/>
  <c r="E63" i="28"/>
  <c r="E64" i="28"/>
  <c r="E65" i="28"/>
  <c r="E66" i="28"/>
  <c r="A67" i="28"/>
  <c r="E67" i="28"/>
  <c r="E68" i="28"/>
  <c r="E69" i="28"/>
  <c r="E70" i="28"/>
  <c r="E71" i="28"/>
  <c r="E72" i="28"/>
  <c r="F73" i="28"/>
  <c r="E22" i="28"/>
  <c r="E23" i="28"/>
  <c r="E24" i="28"/>
  <c r="E25" i="28"/>
  <c r="E26" i="28"/>
  <c r="E27" i="28"/>
  <c r="F28" i="28"/>
  <c r="F82" i="28"/>
  <c r="D3" i="28"/>
  <c r="A80" i="28"/>
  <c r="E80" i="28"/>
  <c r="D7" i="28"/>
  <c r="D11" i="28"/>
  <c r="M13" i="28"/>
  <c r="D12" i="28"/>
  <c r="M18" i="28"/>
  <c r="J22" i="28"/>
  <c r="J23" i="28"/>
  <c r="J24" i="28"/>
  <c r="J25" i="28"/>
  <c r="J26" i="28"/>
  <c r="J27" i="28"/>
  <c r="K28" i="28"/>
  <c r="J31" i="28"/>
  <c r="J32" i="28"/>
  <c r="J33" i="28"/>
  <c r="J34" i="28"/>
  <c r="J35" i="28"/>
  <c r="J36" i="28"/>
  <c r="J37" i="28"/>
  <c r="J38" i="28"/>
  <c r="J39" i="28"/>
  <c r="J40" i="28"/>
  <c r="J41" i="28"/>
  <c r="J42" i="28"/>
  <c r="J43" i="28"/>
  <c r="J44" i="28"/>
  <c r="J45" i="28"/>
  <c r="J46" i="28"/>
  <c r="J47" i="28"/>
  <c r="J48" i="28"/>
  <c r="J49" i="28"/>
  <c r="J51" i="28"/>
  <c r="K52" i="28"/>
  <c r="J55" i="28"/>
  <c r="J56" i="28"/>
  <c r="K57" i="28"/>
  <c r="J60" i="28"/>
  <c r="J61" i="28"/>
  <c r="J62" i="28"/>
  <c r="J63" i="28"/>
  <c r="J64" i="28"/>
  <c r="J65" i="28"/>
  <c r="J66" i="28"/>
  <c r="J67" i="28"/>
  <c r="J68" i="28"/>
  <c r="J69" i="28"/>
  <c r="J70" i="28"/>
  <c r="J71" i="28"/>
  <c r="J72" i="28"/>
  <c r="K73" i="28"/>
  <c r="J75" i="28"/>
  <c r="J76" i="28"/>
  <c r="J77" i="28"/>
  <c r="J78" i="28"/>
  <c r="K79" i="28"/>
  <c r="K82" i="28"/>
  <c r="E22" i="24"/>
  <c r="E23" i="24"/>
  <c r="E24" i="24"/>
  <c r="E25" i="24"/>
  <c r="E26" i="24"/>
  <c r="E27" i="24"/>
  <c r="E28" i="24"/>
  <c r="F29" i="24"/>
  <c r="A32" i="24"/>
  <c r="E32" i="24"/>
  <c r="E33" i="24"/>
  <c r="E34" i="24"/>
  <c r="E35" i="24"/>
  <c r="E36" i="24"/>
  <c r="A37" i="24"/>
  <c r="E37" i="24"/>
  <c r="E38" i="24"/>
  <c r="E39" i="24"/>
  <c r="A40" i="24"/>
  <c r="E40" i="24"/>
  <c r="E41" i="24"/>
  <c r="E42" i="24"/>
  <c r="E43" i="24"/>
  <c r="E44" i="24"/>
  <c r="F45" i="24"/>
  <c r="E48" i="24"/>
  <c r="E49" i="24"/>
  <c r="F50" i="24"/>
  <c r="E53" i="24"/>
  <c r="E54" i="24"/>
  <c r="E55" i="24"/>
  <c r="E56" i="24"/>
  <c r="E57" i="24"/>
  <c r="E58" i="24"/>
  <c r="E59" i="24"/>
  <c r="E60" i="24"/>
  <c r="E61" i="24"/>
  <c r="E62" i="24"/>
  <c r="E63" i="24"/>
  <c r="E64" i="24"/>
  <c r="A65" i="24"/>
  <c r="E65" i="24"/>
  <c r="A66" i="24"/>
  <c r="E66" i="24"/>
  <c r="E67" i="24"/>
  <c r="E68" i="24"/>
  <c r="E69" i="24"/>
  <c r="E70" i="24"/>
  <c r="E71" i="24"/>
  <c r="E72" i="24"/>
  <c r="F73" i="24"/>
  <c r="F83" i="24"/>
  <c r="D3" i="24"/>
  <c r="A81" i="24"/>
  <c r="E81" i="24"/>
  <c r="D7" i="24"/>
  <c r="D11" i="24"/>
  <c r="M13" i="24"/>
  <c r="D12" i="24"/>
  <c r="M18" i="24"/>
  <c r="J22" i="24"/>
  <c r="J23" i="24"/>
  <c r="J24" i="24"/>
  <c r="J25" i="24"/>
  <c r="J26" i="24"/>
  <c r="J27" i="24"/>
  <c r="J28" i="24"/>
  <c r="K29" i="24"/>
  <c r="J32" i="24"/>
  <c r="J33" i="24"/>
  <c r="J34" i="24"/>
  <c r="J35" i="24"/>
  <c r="J36" i="24"/>
  <c r="J37" i="24"/>
  <c r="J38" i="24"/>
  <c r="J39" i="24"/>
  <c r="J40" i="24"/>
  <c r="J41" i="24"/>
  <c r="J42" i="24"/>
  <c r="J43" i="24"/>
  <c r="J44" i="24"/>
  <c r="K45" i="24"/>
  <c r="J48" i="24"/>
  <c r="J49" i="24"/>
  <c r="K50" i="24"/>
  <c r="J53" i="24"/>
  <c r="J54" i="24"/>
  <c r="J55" i="24"/>
  <c r="J56" i="24"/>
  <c r="J57" i="24"/>
  <c r="J58" i="24"/>
  <c r="J59" i="24"/>
  <c r="J60" i="24"/>
  <c r="J61" i="24"/>
  <c r="J62" i="24"/>
  <c r="J63" i="24"/>
  <c r="J64" i="24"/>
  <c r="J65" i="24"/>
  <c r="J66" i="24"/>
  <c r="J67" i="24"/>
  <c r="J68" i="24"/>
  <c r="J69" i="24"/>
  <c r="J70" i="24"/>
  <c r="J71" i="24"/>
  <c r="J72" i="24"/>
  <c r="K73" i="24"/>
  <c r="J75" i="24"/>
  <c r="J76" i="24"/>
  <c r="J77" i="24"/>
  <c r="J78" i="24"/>
  <c r="J79" i="24"/>
  <c r="K80" i="24"/>
  <c r="K83" i="24"/>
  <c r="E45" i="23"/>
  <c r="E22" i="23"/>
  <c r="E23" i="23"/>
  <c r="E24" i="23"/>
  <c r="E25" i="23"/>
  <c r="E26" i="23"/>
  <c r="E27" i="23"/>
  <c r="E28" i="23"/>
  <c r="E29" i="23"/>
  <c r="F30" i="23"/>
  <c r="E33" i="23"/>
  <c r="E34" i="23"/>
  <c r="A35" i="23"/>
  <c r="E35" i="23"/>
  <c r="E36" i="23"/>
  <c r="A37" i="23"/>
  <c r="E37" i="23"/>
  <c r="A38" i="23"/>
  <c r="E38" i="23"/>
  <c r="A39" i="23"/>
  <c r="E39" i="23"/>
  <c r="E40" i="23"/>
  <c r="E41" i="23"/>
  <c r="E42" i="23"/>
  <c r="E43" i="23"/>
  <c r="E46" i="23"/>
  <c r="F47" i="23"/>
  <c r="A54" i="23"/>
  <c r="E54" i="23"/>
  <c r="E55" i="23"/>
  <c r="E56" i="23"/>
  <c r="A57" i="23"/>
  <c r="E57" i="23"/>
  <c r="E58" i="23"/>
  <c r="E59" i="23"/>
  <c r="E60" i="23"/>
  <c r="E61" i="23"/>
  <c r="E62" i="23"/>
  <c r="E63" i="23"/>
  <c r="E64" i="23"/>
  <c r="E65" i="23"/>
  <c r="E66" i="23"/>
  <c r="F67" i="23"/>
  <c r="F77" i="23"/>
  <c r="D3" i="23"/>
  <c r="A75" i="23"/>
  <c r="E75" i="23"/>
  <c r="D7" i="23"/>
  <c r="D11" i="23"/>
  <c r="M13" i="23"/>
  <c r="D12" i="23"/>
  <c r="M18" i="23"/>
  <c r="J45" i="23"/>
  <c r="I45" i="23"/>
  <c r="H45" i="23"/>
  <c r="H42" i="23"/>
  <c r="I42" i="23"/>
  <c r="J42" i="23"/>
  <c r="E56" i="14"/>
  <c r="E22" i="14"/>
  <c r="E23" i="14"/>
  <c r="E24" i="14"/>
  <c r="E25" i="14"/>
  <c r="E26" i="14"/>
  <c r="E27" i="14"/>
  <c r="E28" i="14"/>
  <c r="F29" i="14"/>
  <c r="E32" i="14"/>
  <c r="E33" i="14"/>
  <c r="E34" i="14"/>
  <c r="E35" i="14"/>
  <c r="A36" i="14"/>
  <c r="E36" i="14"/>
  <c r="E37" i="14"/>
  <c r="E38" i="14"/>
  <c r="E39" i="14"/>
  <c r="E40" i="14"/>
  <c r="E41" i="14"/>
  <c r="E42" i="14"/>
  <c r="E43" i="14"/>
  <c r="E44" i="14"/>
  <c r="E45" i="14"/>
  <c r="E47" i="14"/>
  <c r="F48" i="14"/>
  <c r="E57" i="14"/>
  <c r="E58" i="14"/>
  <c r="E59" i="14"/>
  <c r="E60" i="14"/>
  <c r="E61" i="14"/>
  <c r="E62" i="14"/>
  <c r="E63" i="14"/>
  <c r="E64" i="14"/>
  <c r="E65" i="14"/>
  <c r="F66" i="14"/>
  <c r="F77" i="14"/>
  <c r="D3" i="14"/>
  <c r="D7" i="14"/>
  <c r="D11" i="14"/>
  <c r="J32" i="14"/>
  <c r="J33" i="14"/>
  <c r="J34" i="14"/>
  <c r="J35" i="14"/>
  <c r="J36" i="14"/>
  <c r="J37" i="14"/>
  <c r="J38" i="14"/>
  <c r="J39" i="14"/>
  <c r="J40" i="14"/>
  <c r="J41" i="14"/>
  <c r="J42" i="14"/>
  <c r="J43" i="14"/>
  <c r="J44" i="14"/>
  <c r="J45" i="14"/>
  <c r="J47" i="14"/>
  <c r="K48" i="14"/>
  <c r="E21" i="11"/>
  <c r="E22" i="11"/>
  <c r="E23" i="11"/>
  <c r="E24" i="11"/>
  <c r="E25" i="11"/>
  <c r="E26" i="11"/>
  <c r="E27" i="11"/>
  <c r="E28" i="11"/>
  <c r="F29" i="11"/>
  <c r="E32" i="11"/>
  <c r="E33" i="11"/>
  <c r="E34" i="11"/>
  <c r="E35" i="11"/>
  <c r="E36" i="11"/>
  <c r="E37" i="11"/>
  <c r="E38" i="11"/>
  <c r="E39" i="11"/>
  <c r="E40" i="11"/>
  <c r="E41" i="11"/>
  <c r="E42" i="11"/>
  <c r="E44" i="11"/>
  <c r="E45" i="11"/>
  <c r="F46" i="11"/>
  <c r="E53" i="11"/>
  <c r="E54" i="11"/>
  <c r="E55" i="11"/>
  <c r="E56" i="11"/>
  <c r="E57" i="11"/>
  <c r="E58" i="11"/>
  <c r="E59" i="11"/>
  <c r="E60" i="11"/>
  <c r="E61" i="11"/>
  <c r="E62" i="11"/>
  <c r="E63" i="11"/>
  <c r="E64" i="11"/>
  <c r="E65" i="11"/>
  <c r="F66" i="11"/>
  <c r="F76" i="11"/>
  <c r="D3" i="11"/>
  <c r="A74" i="11"/>
  <c r="E74" i="11"/>
  <c r="D7" i="11"/>
  <c r="D11" i="11"/>
  <c r="M13" i="11"/>
  <c r="D12" i="11"/>
  <c r="M19" i="11"/>
  <c r="J21" i="11"/>
  <c r="J22" i="11"/>
  <c r="J23" i="11"/>
  <c r="J24" i="11"/>
  <c r="J25" i="11"/>
  <c r="J26" i="11"/>
  <c r="J27" i="11"/>
  <c r="J28" i="11"/>
  <c r="K29" i="11"/>
  <c r="E63" i="10"/>
  <c r="E22" i="10"/>
  <c r="E23" i="10"/>
  <c r="E24" i="10"/>
  <c r="E25" i="10"/>
  <c r="E26" i="10"/>
  <c r="E27" i="10"/>
  <c r="F28" i="10"/>
  <c r="E31" i="10"/>
  <c r="E32" i="10"/>
  <c r="E33" i="10"/>
  <c r="E34" i="10"/>
  <c r="E35" i="10"/>
  <c r="E36" i="10"/>
  <c r="E37" i="10"/>
  <c r="E39" i="10"/>
  <c r="F40" i="10"/>
  <c r="E43" i="10"/>
  <c r="F44" i="10"/>
  <c r="E48" i="10"/>
  <c r="E49" i="10"/>
  <c r="E50" i="10"/>
  <c r="E51" i="10"/>
  <c r="E52" i="10"/>
  <c r="E53" i="10"/>
  <c r="E54" i="10"/>
  <c r="E55" i="10"/>
  <c r="E56" i="10"/>
  <c r="E57" i="10"/>
  <c r="E58" i="10"/>
  <c r="E59" i="10"/>
  <c r="E60" i="10"/>
  <c r="E61" i="10"/>
  <c r="E62" i="10"/>
  <c r="E64" i="10"/>
  <c r="E65" i="10"/>
  <c r="F66" i="10"/>
  <c r="F80" i="10"/>
  <c r="D3" i="10"/>
  <c r="A78" i="10"/>
  <c r="E78" i="10"/>
  <c r="D7" i="10"/>
  <c r="D11" i="10"/>
  <c r="M13" i="10"/>
  <c r="D12" i="10"/>
  <c r="M18" i="10"/>
  <c r="J63" i="10"/>
  <c r="H63" i="10"/>
  <c r="I63" i="10"/>
  <c r="H40" i="5"/>
  <c r="I40" i="5"/>
  <c r="H41" i="5"/>
  <c r="I41" i="5"/>
  <c r="E63" i="9"/>
  <c r="E22" i="9"/>
  <c r="E23" i="9"/>
  <c r="E24" i="9"/>
  <c r="E25" i="9"/>
  <c r="E26" i="9"/>
  <c r="E27" i="9"/>
  <c r="E28" i="9"/>
  <c r="F29" i="9"/>
  <c r="E32" i="9"/>
  <c r="E33" i="9"/>
  <c r="E34" i="9"/>
  <c r="E35" i="9"/>
  <c r="E36" i="9"/>
  <c r="E37" i="9"/>
  <c r="E38" i="9"/>
  <c r="E39" i="9"/>
  <c r="E40" i="9"/>
  <c r="E41" i="9"/>
  <c r="E42" i="9"/>
  <c r="E43" i="9"/>
  <c r="E44" i="9"/>
  <c r="E45" i="9"/>
  <c r="E46" i="9"/>
  <c r="F47" i="9"/>
  <c r="E55" i="9"/>
  <c r="E56" i="9"/>
  <c r="E57" i="9"/>
  <c r="E58" i="9"/>
  <c r="E59" i="9"/>
  <c r="E60" i="9"/>
  <c r="E61" i="9"/>
  <c r="A62" i="9"/>
  <c r="E62" i="9"/>
  <c r="A64" i="9"/>
  <c r="E64" i="9"/>
  <c r="E65" i="9"/>
  <c r="E66" i="9"/>
  <c r="F67" i="9"/>
  <c r="F81" i="9"/>
  <c r="D3" i="9"/>
  <c r="A79" i="9"/>
  <c r="E79" i="9"/>
  <c r="D7" i="9"/>
  <c r="D11" i="9"/>
  <c r="M13" i="9"/>
  <c r="D12" i="9"/>
  <c r="M18" i="9"/>
  <c r="J63" i="9"/>
  <c r="H63" i="9"/>
  <c r="I63" i="9"/>
  <c r="E22" i="33"/>
  <c r="E23" i="33"/>
  <c r="E24" i="33"/>
  <c r="E25" i="33"/>
  <c r="E26" i="33"/>
  <c r="E27" i="33"/>
  <c r="E28" i="33"/>
  <c r="F29" i="33"/>
  <c r="E32" i="33"/>
  <c r="E33" i="33"/>
  <c r="E34" i="33"/>
  <c r="E35" i="33"/>
  <c r="E36" i="33"/>
  <c r="E37" i="33"/>
  <c r="E38" i="33"/>
  <c r="E39" i="33"/>
  <c r="E40" i="33"/>
  <c r="E41" i="33"/>
  <c r="E42" i="33"/>
  <c r="E43" i="33"/>
  <c r="F44" i="33"/>
  <c r="E47" i="33"/>
  <c r="F48" i="33"/>
  <c r="E51" i="33"/>
  <c r="E52" i="33"/>
  <c r="E53" i="33"/>
  <c r="E54" i="33"/>
  <c r="E55" i="33"/>
  <c r="E56" i="33"/>
  <c r="E57" i="33"/>
  <c r="E58" i="33"/>
  <c r="E59" i="33"/>
  <c r="E60" i="33"/>
  <c r="E61" i="33"/>
  <c r="E62" i="33"/>
  <c r="E63" i="33"/>
  <c r="E64" i="33"/>
  <c r="E65" i="33"/>
  <c r="F66" i="33"/>
  <c r="F76" i="33"/>
  <c r="D3" i="33"/>
  <c r="A74" i="33"/>
  <c r="E74" i="33"/>
  <c r="D7" i="33"/>
  <c r="D11" i="33"/>
  <c r="M13" i="33"/>
  <c r="D12" i="33"/>
  <c r="M18" i="33"/>
  <c r="J22" i="33"/>
  <c r="J23" i="33"/>
  <c r="J24" i="33"/>
  <c r="J25" i="33"/>
  <c r="J26" i="33"/>
  <c r="J27" i="33"/>
  <c r="J28" i="33"/>
  <c r="K29" i="33"/>
  <c r="J32" i="33"/>
  <c r="J33" i="33"/>
  <c r="J34" i="33"/>
  <c r="J35" i="33"/>
  <c r="J36" i="33"/>
  <c r="J37" i="33"/>
  <c r="J38" i="33"/>
  <c r="J39" i="33"/>
  <c r="J40" i="33"/>
  <c r="J41" i="33"/>
  <c r="J42" i="33"/>
  <c r="J43" i="33"/>
  <c r="K44" i="33"/>
  <c r="J47" i="33"/>
  <c r="K48" i="33"/>
  <c r="J51" i="33"/>
  <c r="J52" i="33"/>
  <c r="J53" i="33"/>
  <c r="J54" i="33"/>
  <c r="J55" i="33"/>
  <c r="J56" i="33"/>
  <c r="J57" i="33"/>
  <c r="J58" i="33"/>
  <c r="J59" i="33"/>
  <c r="J60" i="33"/>
  <c r="J61" i="33"/>
  <c r="J62" i="33"/>
  <c r="J63" i="33"/>
  <c r="J64" i="33"/>
  <c r="J65" i="33"/>
  <c r="K66" i="33"/>
  <c r="J68" i="33"/>
  <c r="J69" i="33"/>
  <c r="J70" i="33"/>
  <c r="J71" i="33"/>
  <c r="J72" i="33"/>
  <c r="K73" i="33"/>
  <c r="K76" i="33"/>
  <c r="E22" i="32"/>
  <c r="E23" i="32"/>
  <c r="E24" i="32"/>
  <c r="E25" i="32"/>
  <c r="E26" i="32"/>
  <c r="E27" i="32"/>
  <c r="E28" i="32"/>
  <c r="E29" i="32"/>
  <c r="F30" i="32"/>
  <c r="E33" i="32"/>
  <c r="E34" i="32"/>
  <c r="E35" i="32"/>
  <c r="E36" i="32"/>
  <c r="E37" i="32"/>
  <c r="E38" i="32"/>
  <c r="E39" i="32"/>
  <c r="E40" i="32"/>
  <c r="E41" i="32"/>
  <c r="E42" i="32"/>
  <c r="E43" i="32"/>
  <c r="E44" i="32"/>
  <c r="E45" i="32"/>
  <c r="E46" i="32"/>
  <c r="E48" i="32"/>
  <c r="F49" i="32"/>
  <c r="E58" i="32"/>
  <c r="E59" i="32"/>
  <c r="E60" i="32"/>
  <c r="E61" i="32"/>
  <c r="E62" i="32"/>
  <c r="E63" i="32"/>
  <c r="E64" i="32"/>
  <c r="E65" i="32"/>
  <c r="E66" i="32"/>
  <c r="E67" i="32"/>
  <c r="E68" i="32"/>
  <c r="A69" i="32"/>
  <c r="E69" i="32"/>
  <c r="E70" i="32"/>
  <c r="E71" i="32"/>
  <c r="E72" i="32"/>
  <c r="F73" i="32"/>
  <c r="E75" i="32"/>
  <c r="E76" i="32"/>
  <c r="E77" i="32"/>
  <c r="E78" i="32"/>
  <c r="F79" i="32"/>
  <c r="F82" i="32"/>
  <c r="D3" i="32"/>
  <c r="A80" i="32"/>
  <c r="E80" i="32"/>
  <c r="D7" i="32"/>
  <c r="D11" i="32"/>
  <c r="M13" i="32"/>
  <c r="D12" i="32"/>
  <c r="M18" i="32"/>
  <c r="J22" i="32"/>
  <c r="J23" i="32"/>
  <c r="J24" i="32"/>
  <c r="J25" i="32"/>
  <c r="J26" i="32"/>
  <c r="J27" i="32"/>
  <c r="J28" i="32"/>
  <c r="J29" i="32"/>
  <c r="K30" i="32"/>
  <c r="J33" i="32"/>
  <c r="J34" i="32"/>
  <c r="J35" i="32"/>
  <c r="J36" i="32"/>
  <c r="J37" i="32"/>
  <c r="J38" i="32"/>
  <c r="J39" i="32"/>
  <c r="J40" i="32"/>
  <c r="J41" i="32"/>
  <c r="J42" i="32"/>
  <c r="J43" i="32"/>
  <c r="J44" i="32"/>
  <c r="J45" i="32"/>
  <c r="J46" i="32"/>
  <c r="J48" i="32"/>
  <c r="K49" i="32"/>
  <c r="J52" i="32"/>
  <c r="J53" i="32"/>
  <c r="J54" i="32"/>
  <c r="K55" i="32"/>
  <c r="J58" i="32"/>
  <c r="J59" i="32"/>
  <c r="J60" i="32"/>
  <c r="J61" i="32"/>
  <c r="J62" i="32"/>
  <c r="J63" i="32"/>
  <c r="J64" i="32"/>
  <c r="J65" i="32"/>
  <c r="J66" i="32"/>
  <c r="J67" i="32"/>
  <c r="J68" i="32"/>
  <c r="J69" i="32"/>
  <c r="J70" i="32"/>
  <c r="J71" i="32"/>
  <c r="J72" i="32"/>
  <c r="K73" i="32"/>
  <c r="J75" i="32"/>
  <c r="J76" i="32"/>
  <c r="J77" i="32"/>
  <c r="J78" i="32"/>
  <c r="K79" i="32"/>
  <c r="K82" i="32"/>
  <c r="E22" i="31"/>
  <c r="E23" i="31"/>
  <c r="E24" i="31"/>
  <c r="E25" i="31"/>
  <c r="E26" i="31"/>
  <c r="E27" i="31"/>
  <c r="F28" i="31"/>
  <c r="E31" i="31"/>
  <c r="E32" i="31"/>
  <c r="E33" i="31"/>
  <c r="E34" i="31"/>
  <c r="E35" i="31"/>
  <c r="E36" i="31"/>
  <c r="E37" i="31"/>
  <c r="A38" i="31"/>
  <c r="E38" i="31"/>
  <c r="E39" i="31"/>
  <c r="E40" i="31"/>
  <c r="E42" i="31"/>
  <c r="F43" i="31"/>
  <c r="E46" i="31"/>
  <c r="F47" i="31"/>
  <c r="E50" i="31"/>
  <c r="E51" i="31"/>
  <c r="E52" i="31"/>
  <c r="E53" i="31"/>
  <c r="E54" i="31"/>
  <c r="A55" i="31"/>
  <c r="E55" i="31"/>
  <c r="A56" i="31"/>
  <c r="E56" i="31"/>
  <c r="E57" i="31"/>
  <c r="E58" i="31"/>
  <c r="E59" i="31"/>
  <c r="E60" i="31"/>
  <c r="F61" i="31"/>
  <c r="F75" i="31"/>
  <c r="D3" i="31"/>
  <c r="A73" i="31"/>
  <c r="E73" i="31"/>
  <c r="D7" i="31"/>
  <c r="D11" i="31"/>
  <c r="M13" i="31"/>
  <c r="D12" i="31"/>
  <c r="M18" i="31"/>
  <c r="J22" i="31"/>
  <c r="J23" i="31"/>
  <c r="J24" i="31"/>
  <c r="J25" i="31"/>
  <c r="J26" i="31"/>
  <c r="J27" i="31"/>
  <c r="K28" i="31"/>
  <c r="J31" i="31"/>
  <c r="J32" i="31"/>
  <c r="J33" i="31"/>
  <c r="J34" i="31"/>
  <c r="J35" i="31"/>
  <c r="J36" i="31"/>
  <c r="J37" i="31"/>
  <c r="J38" i="31"/>
  <c r="J39" i="31"/>
  <c r="J40" i="31"/>
  <c r="J42" i="31"/>
  <c r="K43" i="31"/>
  <c r="J46" i="31"/>
  <c r="K47" i="31"/>
  <c r="J50" i="31"/>
  <c r="J51" i="31"/>
  <c r="J52" i="31"/>
  <c r="J53" i="31"/>
  <c r="J54" i="31"/>
  <c r="J55" i="31"/>
  <c r="J56" i="31"/>
  <c r="J57" i="31"/>
  <c r="J58" i="31"/>
  <c r="J59" i="31"/>
  <c r="J60" i="31"/>
  <c r="K61" i="31"/>
  <c r="J63" i="31"/>
  <c r="J64" i="31"/>
  <c r="J65" i="31"/>
  <c r="J66" i="31"/>
  <c r="J67" i="31"/>
  <c r="J68" i="31"/>
  <c r="J69" i="31"/>
  <c r="J70" i="31"/>
  <c r="J71" i="31"/>
  <c r="K72" i="31"/>
  <c r="K75" i="31"/>
  <c r="E22" i="38"/>
  <c r="E23" i="38"/>
  <c r="E24" i="38"/>
  <c r="E25" i="38"/>
  <c r="E26" i="38"/>
  <c r="E27" i="38"/>
  <c r="E28" i="38"/>
  <c r="E29" i="38"/>
  <c r="F30" i="38"/>
  <c r="E33" i="38"/>
  <c r="E34" i="38"/>
  <c r="E35" i="38"/>
  <c r="A36" i="38"/>
  <c r="E36" i="38"/>
  <c r="E37" i="38"/>
  <c r="E38" i="38"/>
  <c r="E39" i="38"/>
  <c r="E40" i="38"/>
  <c r="E41" i="38"/>
  <c r="E42" i="38"/>
  <c r="E43" i="38"/>
  <c r="E45" i="38"/>
  <c r="F46" i="38"/>
  <c r="E49" i="38"/>
  <c r="F50" i="38"/>
  <c r="E53" i="38"/>
  <c r="E54" i="38"/>
  <c r="E55" i="38"/>
  <c r="A56" i="38"/>
  <c r="E56" i="38"/>
  <c r="E57" i="38"/>
  <c r="A58" i="38"/>
  <c r="E58" i="38"/>
  <c r="E59" i="38"/>
  <c r="E60" i="38"/>
  <c r="E61" i="38"/>
  <c r="E62" i="38"/>
  <c r="E63" i="38"/>
  <c r="E64" i="38"/>
  <c r="E65" i="38"/>
  <c r="E66" i="38"/>
  <c r="F67" i="38"/>
  <c r="E69" i="38"/>
  <c r="E70" i="38"/>
  <c r="E71" i="38"/>
  <c r="F72" i="38"/>
  <c r="F75" i="38"/>
  <c r="D3" i="38"/>
  <c r="A73" i="38"/>
  <c r="E73" i="38"/>
  <c r="D7" i="38"/>
  <c r="D11" i="38"/>
  <c r="M13" i="38"/>
  <c r="B15" i="38"/>
  <c r="E22" i="37"/>
  <c r="E23" i="37"/>
  <c r="E24" i="37"/>
  <c r="E25" i="37"/>
  <c r="E26" i="37"/>
  <c r="E27" i="37"/>
  <c r="F28" i="37"/>
  <c r="E31" i="37"/>
  <c r="E32" i="37"/>
  <c r="E33" i="37"/>
  <c r="E34" i="37"/>
  <c r="E35" i="37"/>
  <c r="E36" i="37"/>
  <c r="E37" i="37"/>
  <c r="E38" i="37"/>
  <c r="E39" i="37"/>
  <c r="E40" i="37"/>
  <c r="E42" i="37"/>
  <c r="F43" i="37"/>
  <c r="E51" i="37"/>
  <c r="E52" i="37"/>
  <c r="E53" i="37"/>
  <c r="E54" i="37"/>
  <c r="E55" i="37"/>
  <c r="E56" i="37"/>
  <c r="E57" i="37"/>
  <c r="E58" i="37"/>
  <c r="E59" i="37"/>
  <c r="E60" i="37"/>
  <c r="E61" i="37"/>
  <c r="E62" i="37"/>
  <c r="E63" i="37"/>
  <c r="E64" i="37"/>
  <c r="E65" i="37"/>
  <c r="E66" i="37"/>
  <c r="E67" i="37"/>
  <c r="E68" i="37"/>
  <c r="F69" i="37"/>
  <c r="F82" i="37"/>
  <c r="D3" i="37"/>
  <c r="A80" i="37"/>
  <c r="E80" i="37"/>
  <c r="D7" i="37"/>
  <c r="D11" i="37"/>
  <c r="M13" i="37"/>
  <c r="B15" i="37"/>
  <c r="E22" i="36"/>
  <c r="E23" i="36"/>
  <c r="E24" i="36"/>
  <c r="E25" i="36"/>
  <c r="E26" i="36"/>
  <c r="E27" i="36"/>
  <c r="E28" i="36"/>
  <c r="F29" i="36"/>
  <c r="A32" i="36"/>
  <c r="E32" i="36"/>
  <c r="E33" i="36"/>
  <c r="E34" i="36"/>
  <c r="E35" i="36"/>
  <c r="E36" i="36"/>
  <c r="E37" i="36"/>
  <c r="E38" i="36"/>
  <c r="F39" i="36"/>
  <c r="E47" i="36"/>
  <c r="E48" i="36"/>
  <c r="E49" i="36"/>
  <c r="A50" i="36"/>
  <c r="E50" i="36"/>
  <c r="A51" i="36"/>
  <c r="E51" i="36"/>
  <c r="A52" i="36"/>
  <c r="E52" i="36"/>
  <c r="A53" i="36"/>
  <c r="E53" i="36"/>
  <c r="E54" i="36"/>
  <c r="E55" i="36"/>
  <c r="E56" i="36"/>
  <c r="E57" i="36"/>
  <c r="E58" i="36"/>
  <c r="F59" i="36"/>
  <c r="F71" i="36"/>
  <c r="D3" i="36"/>
  <c r="A69" i="36"/>
  <c r="E69" i="36"/>
  <c r="D7" i="36"/>
  <c r="D11" i="36"/>
  <c r="M13" i="36"/>
  <c r="B15" i="36"/>
  <c r="E22" i="35"/>
  <c r="E23" i="35"/>
  <c r="E24" i="35"/>
  <c r="E25" i="35"/>
  <c r="E26" i="35"/>
  <c r="E27" i="35"/>
  <c r="E28" i="35"/>
  <c r="E29" i="35"/>
  <c r="F30" i="35"/>
  <c r="E33" i="35"/>
  <c r="E34" i="35"/>
  <c r="E35" i="35"/>
  <c r="E36" i="35"/>
  <c r="E37" i="35"/>
  <c r="E38" i="35"/>
  <c r="E39" i="35"/>
  <c r="E40" i="35"/>
  <c r="A41" i="35"/>
  <c r="E41" i="35"/>
  <c r="E42" i="35"/>
  <c r="E43" i="35"/>
  <c r="E44" i="35"/>
  <c r="E45" i="35"/>
  <c r="E47" i="35"/>
  <c r="F48" i="35"/>
  <c r="E55" i="35"/>
  <c r="E56" i="35"/>
  <c r="E57" i="35"/>
  <c r="E58" i="35"/>
  <c r="E59" i="35"/>
  <c r="E60" i="35"/>
  <c r="E61" i="35"/>
  <c r="E62" i="35"/>
  <c r="E63" i="35"/>
  <c r="E64" i="35"/>
  <c r="E65" i="35"/>
  <c r="E66" i="35"/>
  <c r="F67" i="35"/>
  <c r="F78" i="35"/>
  <c r="D3" i="35"/>
  <c r="A76" i="35"/>
  <c r="E76" i="35"/>
  <c r="D7" i="35"/>
  <c r="D11" i="35"/>
  <c r="M13" i="35"/>
  <c r="B15" i="35"/>
  <c r="E22" i="34"/>
  <c r="E23" i="34"/>
  <c r="E24" i="34"/>
  <c r="E25" i="34"/>
  <c r="E26" i="34"/>
  <c r="E27" i="34"/>
  <c r="F28" i="34"/>
  <c r="E31" i="34"/>
  <c r="E32" i="34"/>
  <c r="E33" i="34"/>
  <c r="E34" i="34"/>
  <c r="E35" i="34"/>
  <c r="E36" i="34"/>
  <c r="E37" i="34"/>
  <c r="E38" i="34"/>
  <c r="E39" i="34"/>
  <c r="E40" i="34"/>
  <c r="E42" i="34"/>
  <c r="F43" i="34"/>
  <c r="E51" i="34"/>
  <c r="E52" i="34"/>
  <c r="E53" i="34"/>
  <c r="E54" i="34"/>
  <c r="E55" i="34"/>
  <c r="E56" i="34"/>
  <c r="E57" i="34"/>
  <c r="E58" i="34"/>
  <c r="E59" i="34"/>
  <c r="F60" i="34"/>
  <c r="F63" i="34"/>
  <c r="D3" i="34"/>
  <c r="A61" i="34"/>
  <c r="E61" i="34"/>
  <c r="D7" i="34"/>
  <c r="D11" i="34"/>
  <c r="M13" i="34"/>
  <c r="B15" i="34"/>
  <c r="B15" i="33"/>
  <c r="B15" i="32"/>
  <c r="B15" i="31"/>
  <c r="B15" i="30"/>
  <c r="B15" i="29"/>
  <c r="B15" i="28"/>
  <c r="E22" i="27"/>
  <c r="E23" i="27"/>
  <c r="E24" i="27"/>
  <c r="E25" i="27"/>
  <c r="E26" i="27"/>
  <c r="E27" i="27"/>
  <c r="E28" i="27"/>
  <c r="F29" i="27"/>
  <c r="E32" i="27"/>
  <c r="E33" i="27"/>
  <c r="E34" i="27"/>
  <c r="E35" i="27"/>
  <c r="A36" i="27"/>
  <c r="E36" i="27"/>
  <c r="A37" i="27"/>
  <c r="E37" i="27"/>
  <c r="E38" i="27"/>
  <c r="E39" i="27"/>
  <c r="E40" i="27"/>
  <c r="E41" i="27"/>
  <c r="E42" i="27"/>
  <c r="E44" i="27"/>
  <c r="F45" i="27"/>
  <c r="E48" i="27"/>
  <c r="E49" i="27"/>
  <c r="F50" i="27"/>
  <c r="E53" i="27"/>
  <c r="E54" i="27"/>
  <c r="E55" i="27"/>
  <c r="A56" i="27"/>
  <c r="E56" i="27"/>
  <c r="E57" i="27"/>
  <c r="E58" i="27"/>
  <c r="E59" i="27"/>
  <c r="E60" i="27"/>
  <c r="E61" i="27"/>
  <c r="E62" i="27"/>
  <c r="E63" i="27"/>
  <c r="E64" i="27"/>
  <c r="E65" i="27"/>
  <c r="E66" i="27"/>
  <c r="F67" i="27"/>
  <c r="F79" i="27"/>
  <c r="D3" i="27"/>
  <c r="A77" i="27"/>
  <c r="E77" i="27"/>
  <c r="D7" i="27"/>
  <c r="D11" i="27"/>
  <c r="M13" i="27"/>
  <c r="B15" i="27"/>
  <c r="E22" i="26"/>
  <c r="E23" i="26"/>
  <c r="E24" i="26"/>
  <c r="E25" i="26"/>
  <c r="E26" i="26"/>
  <c r="E27" i="26"/>
  <c r="E28" i="26"/>
  <c r="E29" i="26"/>
  <c r="F30" i="26"/>
  <c r="E33" i="26"/>
  <c r="A34" i="26"/>
  <c r="E34" i="26"/>
  <c r="E35" i="26"/>
  <c r="E36" i="26"/>
  <c r="E37" i="26"/>
  <c r="E38" i="26"/>
  <c r="E39" i="26"/>
  <c r="E40" i="26"/>
  <c r="E41" i="26"/>
  <c r="E42" i="26"/>
  <c r="E43" i="26"/>
  <c r="E44" i="26"/>
  <c r="E46" i="26"/>
  <c r="F47" i="26"/>
  <c r="E54" i="26"/>
  <c r="E55" i="26"/>
  <c r="E56" i="26"/>
  <c r="E57" i="26"/>
  <c r="E58" i="26"/>
  <c r="E59" i="26"/>
  <c r="A60" i="26"/>
  <c r="E60" i="26"/>
  <c r="E61" i="26"/>
  <c r="A62" i="26"/>
  <c r="E62" i="26"/>
  <c r="E63" i="26"/>
  <c r="E64" i="26"/>
  <c r="E65" i="26"/>
  <c r="F66" i="26"/>
  <c r="F78" i="26"/>
  <c r="D3" i="26"/>
  <c r="A76" i="26"/>
  <c r="E76" i="26"/>
  <c r="D7" i="26"/>
  <c r="D11" i="26"/>
  <c r="M13" i="26"/>
  <c r="B15" i="26"/>
  <c r="E22" i="25"/>
  <c r="E23" i="25"/>
  <c r="E24" i="25"/>
  <c r="E25" i="25"/>
  <c r="E26" i="25"/>
  <c r="E27" i="25"/>
  <c r="F28" i="25"/>
  <c r="E31" i="25"/>
  <c r="E32" i="25"/>
  <c r="E33" i="25"/>
  <c r="E34" i="25"/>
  <c r="E35" i="25"/>
  <c r="E36" i="25"/>
  <c r="E37" i="25"/>
  <c r="E38" i="25"/>
  <c r="E39" i="25"/>
  <c r="E40" i="25"/>
  <c r="E41" i="25"/>
  <c r="E43" i="25"/>
  <c r="F44" i="25"/>
  <c r="E52" i="25"/>
  <c r="A53" i="25"/>
  <c r="E53" i="25"/>
  <c r="E54" i="25"/>
  <c r="E55" i="25"/>
  <c r="E56" i="25"/>
  <c r="E57" i="25"/>
  <c r="E58" i="25"/>
  <c r="E59" i="25"/>
  <c r="E60" i="25"/>
  <c r="E61" i="25"/>
  <c r="F62" i="25"/>
  <c r="E64" i="25"/>
  <c r="E65" i="25"/>
  <c r="E66" i="25"/>
  <c r="E67" i="25"/>
  <c r="E68" i="25"/>
  <c r="E69" i="25"/>
  <c r="E70" i="25"/>
  <c r="F71" i="25"/>
  <c r="F74" i="25"/>
  <c r="D3" i="25"/>
  <c r="A72" i="25"/>
  <c r="E72" i="25"/>
  <c r="D7" i="25"/>
  <c r="D11" i="25"/>
  <c r="M13" i="25"/>
  <c r="B15" i="25"/>
  <c r="B15" i="24"/>
  <c r="B15" i="23"/>
  <c r="E22" i="22"/>
  <c r="E23" i="22"/>
  <c r="E24" i="22"/>
  <c r="E25" i="22"/>
  <c r="E26" i="22"/>
  <c r="E27" i="22"/>
  <c r="F28" i="22"/>
  <c r="A31" i="22"/>
  <c r="E31" i="22"/>
  <c r="A32" i="22"/>
  <c r="E32" i="22"/>
  <c r="A33" i="22"/>
  <c r="E33" i="22"/>
  <c r="E34" i="22"/>
  <c r="E35" i="22"/>
  <c r="E36" i="22"/>
  <c r="E37" i="22"/>
  <c r="E38" i="22"/>
  <c r="E39" i="22"/>
  <c r="E40" i="22"/>
  <c r="E41" i="22"/>
  <c r="E42" i="22"/>
  <c r="E43" i="22"/>
  <c r="E45" i="22"/>
  <c r="F46" i="22"/>
  <c r="E54" i="22"/>
  <c r="E56" i="22"/>
  <c r="E57" i="22"/>
  <c r="E58" i="22"/>
  <c r="E59" i="22"/>
  <c r="E60" i="22"/>
  <c r="E61" i="22"/>
  <c r="E62" i="22"/>
  <c r="E63" i="22"/>
  <c r="E64" i="22"/>
  <c r="E65" i="22"/>
  <c r="E66" i="22"/>
  <c r="F67" i="22"/>
  <c r="F73" i="22"/>
  <c r="D3" i="22"/>
  <c r="A71" i="22"/>
  <c r="E71" i="22"/>
  <c r="D7" i="22"/>
  <c r="D11" i="22"/>
  <c r="M13" i="22"/>
  <c r="B15" i="22"/>
  <c r="E22" i="21"/>
  <c r="E23" i="21"/>
  <c r="E24" i="21"/>
  <c r="E25" i="21"/>
  <c r="E26" i="21"/>
  <c r="E27" i="21"/>
  <c r="E28" i="21"/>
  <c r="F29" i="21"/>
  <c r="A32" i="21"/>
  <c r="E32" i="21"/>
  <c r="E33" i="21"/>
  <c r="A34" i="21"/>
  <c r="E34" i="21"/>
  <c r="E35" i="21"/>
  <c r="E36" i="21"/>
  <c r="A37" i="21"/>
  <c r="E37" i="21"/>
  <c r="E38" i="21"/>
  <c r="E39" i="21"/>
  <c r="E40" i="21"/>
  <c r="E41" i="21"/>
  <c r="E42" i="21"/>
  <c r="E43" i="21"/>
  <c r="E44" i="21"/>
  <c r="E45" i="21"/>
  <c r="E46" i="21"/>
  <c r="F47" i="21"/>
  <c r="E55" i="21"/>
  <c r="E56" i="21"/>
  <c r="E57" i="21"/>
  <c r="E58" i="21"/>
  <c r="E59" i="21"/>
  <c r="E60" i="21"/>
  <c r="E61" i="21"/>
  <c r="E62" i="21"/>
  <c r="E63" i="21"/>
  <c r="E64" i="21"/>
  <c r="E65" i="21"/>
  <c r="E66" i="21"/>
  <c r="F67" i="21"/>
  <c r="F77" i="21"/>
  <c r="D3" i="21"/>
  <c r="A75" i="21"/>
  <c r="E75" i="21"/>
  <c r="D7" i="21"/>
  <c r="D11" i="21"/>
  <c r="M13" i="21"/>
  <c r="B15" i="21"/>
  <c r="E22" i="20"/>
  <c r="E23" i="20"/>
  <c r="E24" i="20"/>
  <c r="E25" i="20"/>
  <c r="E26" i="20"/>
  <c r="E27" i="20"/>
  <c r="E28" i="20"/>
  <c r="E29" i="20"/>
  <c r="F30" i="20"/>
  <c r="E33" i="20"/>
  <c r="E34" i="20"/>
  <c r="E35" i="20"/>
  <c r="E36" i="20"/>
  <c r="E37" i="20"/>
  <c r="E38" i="20"/>
  <c r="E39" i="20"/>
  <c r="E40" i="20"/>
  <c r="E41" i="20"/>
  <c r="A42" i="20"/>
  <c r="E42" i="20"/>
  <c r="E43" i="20"/>
  <c r="E44" i="20"/>
  <c r="E45" i="20"/>
  <c r="F46" i="20"/>
  <c r="E53" i="20"/>
  <c r="E54" i="20"/>
  <c r="E55" i="20"/>
  <c r="E56" i="20"/>
  <c r="E57" i="20"/>
  <c r="E58" i="20"/>
  <c r="E59" i="20"/>
  <c r="E60" i="20"/>
  <c r="E61" i="20"/>
  <c r="E62" i="20"/>
  <c r="A63" i="20"/>
  <c r="E63" i="20"/>
  <c r="E64" i="20"/>
  <c r="E65" i="20"/>
  <c r="E66" i="20"/>
  <c r="E67" i="20"/>
  <c r="F68" i="20"/>
  <c r="F77" i="20"/>
  <c r="D3" i="20"/>
  <c r="A75" i="20"/>
  <c r="E75" i="20"/>
  <c r="D7" i="20"/>
  <c r="D11" i="20"/>
  <c r="M13" i="20"/>
  <c r="B15" i="20"/>
  <c r="E22" i="19"/>
  <c r="E23" i="19"/>
  <c r="E24" i="19"/>
  <c r="E25" i="19"/>
  <c r="E26" i="19"/>
  <c r="E27" i="19"/>
  <c r="F28" i="19"/>
  <c r="E31" i="19"/>
  <c r="E32" i="19"/>
  <c r="E33" i="19"/>
  <c r="E34" i="19"/>
  <c r="E35" i="19"/>
  <c r="E36" i="19"/>
  <c r="E37" i="19"/>
  <c r="A38" i="19"/>
  <c r="E38" i="19"/>
  <c r="E39" i="19"/>
  <c r="E40" i="19"/>
  <c r="E41" i="19"/>
  <c r="E42" i="19"/>
  <c r="E43" i="19"/>
  <c r="E44" i="19"/>
  <c r="E45" i="19"/>
  <c r="E46" i="19"/>
  <c r="E47" i="19"/>
  <c r="E48" i="19"/>
  <c r="E49" i="19"/>
  <c r="E50" i="19"/>
  <c r="F51" i="19"/>
  <c r="E59" i="19"/>
  <c r="E60" i="19"/>
  <c r="E61" i="19"/>
  <c r="A62" i="19"/>
  <c r="E62" i="19"/>
  <c r="E63" i="19"/>
  <c r="E64" i="19"/>
  <c r="E65" i="19"/>
  <c r="F66" i="19"/>
  <c r="E68" i="19"/>
  <c r="E69" i="19"/>
  <c r="E70" i="19"/>
  <c r="E71" i="19"/>
  <c r="E72" i="19"/>
  <c r="E73" i="19"/>
  <c r="E74" i="19"/>
  <c r="F75" i="19"/>
  <c r="F78" i="19"/>
  <c r="D3" i="19"/>
  <c r="A76" i="19"/>
  <c r="E76" i="19"/>
  <c r="D7" i="19"/>
  <c r="D11" i="19"/>
  <c r="M13" i="19"/>
  <c r="B15" i="19"/>
  <c r="E22" i="18"/>
  <c r="E23" i="18"/>
  <c r="E24" i="18"/>
  <c r="E25" i="18"/>
  <c r="E26" i="18"/>
  <c r="E27" i="18"/>
  <c r="E28" i="18"/>
  <c r="F29" i="18"/>
  <c r="A32" i="18"/>
  <c r="E32" i="18"/>
  <c r="A33" i="18"/>
  <c r="E33" i="18"/>
  <c r="E34" i="18"/>
  <c r="E35" i="18"/>
  <c r="E36" i="18"/>
  <c r="E37" i="18"/>
  <c r="E38" i="18"/>
  <c r="E39" i="18"/>
  <c r="E40" i="18"/>
  <c r="F43" i="18"/>
  <c r="E46" i="18"/>
  <c r="F47" i="18"/>
  <c r="E50" i="18"/>
  <c r="E51" i="18"/>
  <c r="E52" i="18"/>
  <c r="E53" i="18"/>
  <c r="E54" i="18"/>
  <c r="E55" i="18"/>
  <c r="E56" i="18"/>
  <c r="E57" i="18"/>
  <c r="E58" i="18"/>
  <c r="E59" i="18"/>
  <c r="E60" i="18"/>
  <c r="E61" i="18"/>
  <c r="E62" i="18"/>
  <c r="E63" i="18"/>
  <c r="E64" i="18"/>
  <c r="E65" i="18"/>
  <c r="E66" i="18"/>
  <c r="E67" i="18"/>
  <c r="F68" i="18"/>
  <c r="F80" i="18"/>
  <c r="D3" i="18"/>
  <c r="A78" i="18"/>
  <c r="E78" i="18"/>
  <c r="D7" i="18"/>
  <c r="D11" i="18"/>
  <c r="M13" i="18"/>
  <c r="B15" i="18"/>
  <c r="D12" i="18"/>
  <c r="M18" i="18"/>
  <c r="J22" i="18"/>
  <c r="J23" i="18"/>
  <c r="J24" i="18"/>
  <c r="J25" i="18"/>
  <c r="J26" i="18"/>
  <c r="J27" i="18"/>
  <c r="J28" i="18"/>
  <c r="K29" i="18"/>
  <c r="J32" i="18"/>
  <c r="J33" i="18"/>
  <c r="J34" i="18"/>
  <c r="J35" i="18"/>
  <c r="J36" i="18"/>
  <c r="J37" i="18"/>
  <c r="J38" i="18"/>
  <c r="J39" i="18"/>
  <c r="J40" i="18"/>
  <c r="J42" i="18"/>
  <c r="K43" i="18"/>
  <c r="J46" i="18"/>
  <c r="K47" i="18"/>
  <c r="J50" i="18"/>
  <c r="J51" i="18"/>
  <c r="J52" i="18"/>
  <c r="J53" i="18"/>
  <c r="J54" i="18"/>
  <c r="J55" i="18"/>
  <c r="J56" i="18"/>
  <c r="J57" i="18"/>
  <c r="J58" i="18"/>
  <c r="J59" i="18"/>
  <c r="J60" i="18"/>
  <c r="J61" i="18"/>
  <c r="J62" i="18"/>
  <c r="J63" i="18"/>
  <c r="J64" i="18"/>
  <c r="J65" i="18"/>
  <c r="J66" i="18"/>
  <c r="J67" i="18"/>
  <c r="K68" i="18"/>
  <c r="J70" i="18"/>
  <c r="J71" i="18"/>
  <c r="J72" i="18"/>
  <c r="J73" i="18"/>
  <c r="J74" i="18"/>
  <c r="J75" i="18"/>
  <c r="J76" i="18"/>
  <c r="K77" i="18"/>
  <c r="K80" i="18"/>
  <c r="E22" i="17"/>
  <c r="E23" i="17"/>
  <c r="E24" i="17"/>
  <c r="E25" i="17"/>
  <c r="E26" i="17"/>
  <c r="E27" i="17"/>
  <c r="E28" i="17"/>
  <c r="E29" i="17"/>
  <c r="F30" i="17"/>
  <c r="E33" i="17"/>
  <c r="E34" i="17"/>
  <c r="E35" i="17"/>
  <c r="E36" i="17"/>
  <c r="E37" i="17"/>
  <c r="E38" i="17"/>
  <c r="E39" i="17"/>
  <c r="E40" i="17"/>
  <c r="E41" i="17"/>
  <c r="E42" i="17"/>
  <c r="E43" i="17"/>
  <c r="E44" i="17"/>
  <c r="E45" i="17"/>
  <c r="E46" i="17"/>
  <c r="E47" i="17"/>
  <c r="F50" i="17"/>
  <c r="E57" i="17"/>
  <c r="E58" i="17"/>
  <c r="E59" i="17"/>
  <c r="E60" i="17"/>
  <c r="E61" i="17"/>
  <c r="E62" i="17"/>
  <c r="E64" i="17"/>
  <c r="E65" i="17"/>
  <c r="E66" i="17"/>
  <c r="E67" i="17"/>
  <c r="E68" i="17"/>
  <c r="E69" i="17"/>
  <c r="E70" i="17"/>
  <c r="E71" i="17"/>
  <c r="E72" i="17"/>
  <c r="E74" i="17"/>
  <c r="F75" i="17"/>
  <c r="F78" i="17"/>
  <c r="D3" i="17"/>
  <c r="A76" i="17"/>
  <c r="E76" i="17"/>
  <c r="D7" i="17"/>
  <c r="D11" i="17"/>
  <c r="M13" i="17"/>
  <c r="B15" i="17"/>
  <c r="B15" i="14"/>
  <c r="B15" i="11"/>
  <c r="B15" i="10"/>
  <c r="B15" i="9"/>
  <c r="B15" i="5"/>
  <c r="D12" i="26"/>
  <c r="M18" i="26"/>
  <c r="J22" i="26"/>
  <c r="J23" i="26"/>
  <c r="J24" i="26"/>
  <c r="J25" i="26"/>
  <c r="J26" i="26"/>
  <c r="J27" i="26"/>
  <c r="J28" i="26"/>
  <c r="J29" i="26"/>
  <c r="K30" i="26"/>
  <c r="J33" i="26"/>
  <c r="J34" i="26"/>
  <c r="J35" i="26"/>
  <c r="J36" i="26"/>
  <c r="J37" i="26"/>
  <c r="J38" i="26"/>
  <c r="J39" i="26"/>
  <c r="J40" i="26"/>
  <c r="J41" i="26"/>
  <c r="J42" i="26"/>
  <c r="J43" i="26"/>
  <c r="J44" i="26"/>
  <c r="J46" i="26"/>
  <c r="K47" i="26"/>
  <c r="J50" i="26"/>
  <c r="K51" i="26"/>
  <c r="J54" i="26"/>
  <c r="J55" i="26"/>
  <c r="J56" i="26"/>
  <c r="J57" i="26"/>
  <c r="J58" i="26"/>
  <c r="J59" i="26"/>
  <c r="J60" i="26"/>
  <c r="J61" i="26"/>
  <c r="J62" i="26"/>
  <c r="J63" i="26"/>
  <c r="J64" i="26"/>
  <c r="J65" i="26"/>
  <c r="K66" i="26"/>
  <c r="J68" i="26"/>
  <c r="J69" i="26"/>
  <c r="J70" i="26"/>
  <c r="J71" i="26"/>
  <c r="J72" i="26"/>
  <c r="J73" i="26"/>
  <c r="J74" i="26"/>
  <c r="K75" i="26"/>
  <c r="K78" i="26"/>
  <c r="D12" i="22"/>
  <c r="M18" i="22"/>
  <c r="J22" i="22"/>
  <c r="J23" i="22"/>
  <c r="J24" i="22"/>
  <c r="J25" i="22"/>
  <c r="J26" i="22"/>
  <c r="J27" i="22"/>
  <c r="K28" i="22"/>
  <c r="J31" i="22"/>
  <c r="J32" i="22"/>
  <c r="J33" i="22"/>
  <c r="J34" i="22"/>
  <c r="J35" i="22"/>
  <c r="J36" i="22"/>
  <c r="J37" i="22"/>
  <c r="J38" i="22"/>
  <c r="J39" i="22"/>
  <c r="J40" i="22"/>
  <c r="J41" i="22"/>
  <c r="J42" i="22"/>
  <c r="J43" i="22"/>
  <c r="J45" i="22"/>
  <c r="K46" i="22"/>
  <c r="J49" i="22"/>
  <c r="J50" i="22"/>
  <c r="K51" i="22"/>
  <c r="J54" i="22"/>
  <c r="J55" i="22"/>
  <c r="J56" i="22"/>
  <c r="J57" i="22"/>
  <c r="J58" i="22"/>
  <c r="J59" i="22"/>
  <c r="J60" i="22"/>
  <c r="J61" i="22"/>
  <c r="J62" i="22"/>
  <c r="J63" i="22"/>
  <c r="J64" i="22"/>
  <c r="J65" i="22"/>
  <c r="J66" i="22"/>
  <c r="K67" i="22"/>
  <c r="J69" i="22"/>
  <c r="K70" i="22"/>
  <c r="K73" i="22"/>
  <c r="J22" i="23"/>
  <c r="J23" i="23"/>
  <c r="J24" i="23"/>
  <c r="J25" i="23"/>
  <c r="J26" i="23"/>
  <c r="J27" i="23"/>
  <c r="J28" i="23"/>
  <c r="J29" i="23"/>
  <c r="K30" i="23"/>
  <c r="J33" i="23"/>
  <c r="J34" i="23"/>
  <c r="J35" i="23"/>
  <c r="J36" i="23"/>
  <c r="J37" i="23"/>
  <c r="J38" i="23"/>
  <c r="J39" i="23"/>
  <c r="J40" i="23"/>
  <c r="J41" i="23"/>
  <c r="J43" i="23"/>
  <c r="J46" i="23"/>
  <c r="K47" i="23"/>
  <c r="J50" i="23"/>
  <c r="K51" i="23"/>
  <c r="J54" i="23"/>
  <c r="J55" i="23"/>
  <c r="J56" i="23"/>
  <c r="J57" i="23"/>
  <c r="J58" i="23"/>
  <c r="J59" i="23"/>
  <c r="J60" i="23"/>
  <c r="J61" i="23"/>
  <c r="J62" i="23"/>
  <c r="J63" i="23"/>
  <c r="J64" i="23"/>
  <c r="J65" i="23"/>
  <c r="J66" i="23"/>
  <c r="K67" i="23"/>
  <c r="J69" i="23"/>
  <c r="J70" i="23"/>
  <c r="J71" i="23"/>
  <c r="J72" i="23"/>
  <c r="J73" i="23"/>
  <c r="K74" i="23"/>
  <c r="K77" i="23"/>
  <c r="D12" i="21"/>
  <c r="M18" i="21"/>
  <c r="J22" i="21"/>
  <c r="J23" i="21"/>
  <c r="J24" i="21"/>
  <c r="J25" i="21"/>
  <c r="J26" i="21"/>
  <c r="J27" i="21"/>
  <c r="J28" i="21"/>
  <c r="K29" i="21"/>
  <c r="J32" i="21"/>
  <c r="J33" i="21"/>
  <c r="J34" i="21"/>
  <c r="J35" i="21"/>
  <c r="J36" i="21"/>
  <c r="J37" i="21"/>
  <c r="J38" i="21"/>
  <c r="J39" i="21"/>
  <c r="J40" i="21"/>
  <c r="J41" i="21"/>
  <c r="J42" i="21"/>
  <c r="J43" i="21"/>
  <c r="J44" i="21"/>
  <c r="J45" i="21"/>
  <c r="J46" i="21"/>
  <c r="K47" i="21"/>
  <c r="J50" i="21"/>
  <c r="J51" i="21"/>
  <c r="K52" i="21"/>
  <c r="J55" i="21"/>
  <c r="J56" i="21"/>
  <c r="J57" i="21"/>
  <c r="J58" i="21"/>
  <c r="J59" i="21"/>
  <c r="J60" i="21"/>
  <c r="J61" i="21"/>
  <c r="J62" i="21"/>
  <c r="J63" i="21"/>
  <c r="J64" i="21"/>
  <c r="J65" i="21"/>
  <c r="J66" i="21"/>
  <c r="K67" i="21"/>
  <c r="J69" i="21"/>
  <c r="J70" i="21"/>
  <c r="J71" i="21"/>
  <c r="J72" i="21"/>
  <c r="J73" i="21"/>
  <c r="K74" i="21"/>
  <c r="K77" i="21"/>
  <c r="I63" i="17"/>
  <c r="D12" i="17"/>
  <c r="M18" i="17"/>
  <c r="J65" i="17"/>
  <c r="H65" i="17"/>
  <c r="I65" i="17"/>
  <c r="J69" i="17"/>
  <c r="H69" i="17"/>
  <c r="I69" i="17"/>
  <c r="H38" i="8"/>
  <c r="G38" i="8"/>
  <c r="F38" i="8"/>
  <c r="E38" i="8"/>
  <c r="D12" i="38"/>
  <c r="M18" i="38"/>
  <c r="J22" i="38"/>
  <c r="J23" i="38"/>
  <c r="J24" i="38"/>
  <c r="J25" i="38"/>
  <c r="J26" i="38"/>
  <c r="J27" i="38"/>
  <c r="J28" i="38"/>
  <c r="J29" i="38"/>
  <c r="K30" i="38"/>
  <c r="J33" i="38"/>
  <c r="J34" i="38"/>
  <c r="J35" i="38"/>
  <c r="J36" i="38"/>
  <c r="J37" i="38"/>
  <c r="J38" i="38"/>
  <c r="J39" i="38"/>
  <c r="J40" i="38"/>
  <c r="J41" i="38"/>
  <c r="J42" i="38"/>
  <c r="J43" i="38"/>
  <c r="J45" i="38"/>
  <c r="K46" i="38"/>
  <c r="J49" i="38"/>
  <c r="K50" i="38"/>
  <c r="J53" i="38"/>
  <c r="J54" i="38"/>
  <c r="J55" i="38"/>
  <c r="J56" i="38"/>
  <c r="J57" i="38"/>
  <c r="J58" i="38"/>
  <c r="J59" i="38"/>
  <c r="J60" i="38"/>
  <c r="J61" i="38"/>
  <c r="J62" i="38"/>
  <c r="J63" i="38"/>
  <c r="J64" i="38"/>
  <c r="J65" i="38"/>
  <c r="J66" i="38"/>
  <c r="K67" i="38"/>
  <c r="J69" i="38"/>
  <c r="J70" i="38"/>
  <c r="J71" i="38"/>
  <c r="K72" i="38"/>
  <c r="K75" i="38"/>
  <c r="J73" i="38"/>
  <c r="K76" i="38"/>
  <c r="F76" i="38"/>
  <c r="B73" i="38"/>
  <c r="I73" i="38"/>
  <c r="H73" i="38"/>
  <c r="I71" i="38"/>
  <c r="H71" i="38"/>
  <c r="I70" i="38"/>
  <c r="H70" i="38"/>
  <c r="I69" i="38"/>
  <c r="H69" i="38"/>
  <c r="I66" i="38"/>
  <c r="H66" i="38"/>
  <c r="I65" i="38"/>
  <c r="H65" i="38"/>
  <c r="I64" i="38"/>
  <c r="H64" i="38"/>
  <c r="I63" i="38"/>
  <c r="H63" i="38"/>
  <c r="I62" i="38"/>
  <c r="H62" i="38"/>
  <c r="I61" i="38"/>
  <c r="H61" i="38"/>
  <c r="I60" i="38"/>
  <c r="H60" i="38"/>
  <c r="I59" i="38"/>
  <c r="H59" i="38"/>
  <c r="I58" i="38"/>
  <c r="H58" i="38"/>
  <c r="I57" i="38"/>
  <c r="H57" i="38"/>
  <c r="I56" i="38"/>
  <c r="H56" i="38"/>
  <c r="I55" i="38"/>
  <c r="H55" i="38"/>
  <c r="I54" i="38"/>
  <c r="H54" i="38"/>
  <c r="I53" i="38"/>
  <c r="H53" i="38"/>
  <c r="I49" i="38"/>
  <c r="H49" i="38"/>
  <c r="I45" i="38"/>
  <c r="H45" i="38"/>
  <c r="I43" i="38"/>
  <c r="H43" i="38"/>
  <c r="I42" i="38"/>
  <c r="H42" i="38"/>
  <c r="I41" i="38"/>
  <c r="H41" i="38"/>
  <c r="I40" i="38"/>
  <c r="H40" i="38"/>
  <c r="I39" i="38"/>
  <c r="H39" i="38"/>
  <c r="I38" i="38"/>
  <c r="H38" i="38"/>
  <c r="I37" i="38"/>
  <c r="H37" i="38"/>
  <c r="I36" i="38"/>
  <c r="H36" i="38"/>
  <c r="I35" i="38"/>
  <c r="H35" i="38"/>
  <c r="I34" i="38"/>
  <c r="H34" i="38"/>
  <c r="I33" i="38"/>
  <c r="H33" i="38"/>
  <c r="I29" i="38"/>
  <c r="H29" i="38"/>
  <c r="I28" i="38"/>
  <c r="H28" i="38"/>
  <c r="I27" i="38"/>
  <c r="H27" i="38"/>
  <c r="I26" i="38"/>
  <c r="H26" i="38"/>
  <c r="I25" i="38"/>
  <c r="H25" i="38"/>
  <c r="I24" i="38"/>
  <c r="H24" i="38"/>
  <c r="I23" i="38"/>
  <c r="H23" i="38"/>
  <c r="I22" i="38"/>
  <c r="H22" i="38"/>
  <c r="I18" i="38"/>
  <c r="H18" i="38"/>
  <c r="F13" i="38"/>
  <c r="F12" i="38"/>
  <c r="D8" i="38"/>
  <c r="E5" i="38"/>
  <c r="H37" i="8"/>
  <c r="F37" i="8"/>
  <c r="D12" i="37"/>
  <c r="M18" i="37"/>
  <c r="J72" i="37"/>
  <c r="H72" i="37"/>
  <c r="I72" i="37"/>
  <c r="J73" i="37"/>
  <c r="H73" i="37"/>
  <c r="I73" i="37"/>
  <c r="J74" i="37"/>
  <c r="H74" i="37"/>
  <c r="I74" i="37"/>
  <c r="J75" i="37"/>
  <c r="H75" i="37"/>
  <c r="I75" i="37"/>
  <c r="J47" i="37"/>
  <c r="H47" i="37"/>
  <c r="I47" i="37"/>
  <c r="J42" i="37"/>
  <c r="I42" i="37"/>
  <c r="H42" i="37"/>
  <c r="G37" i="8"/>
  <c r="E37" i="8"/>
  <c r="J57" i="37"/>
  <c r="H57" i="37"/>
  <c r="I57" i="37"/>
  <c r="H58" i="37"/>
  <c r="I58" i="37"/>
  <c r="J58" i="37"/>
  <c r="J59" i="37"/>
  <c r="H59" i="37"/>
  <c r="I59" i="37"/>
  <c r="J60" i="37"/>
  <c r="H60" i="37"/>
  <c r="I60" i="37"/>
  <c r="J61" i="37"/>
  <c r="H61" i="37"/>
  <c r="I61" i="37"/>
  <c r="H62" i="37"/>
  <c r="I62" i="37"/>
  <c r="J62" i="37"/>
  <c r="J63" i="37"/>
  <c r="H63" i="37"/>
  <c r="I63" i="37"/>
  <c r="J64" i="37"/>
  <c r="H64" i="37"/>
  <c r="I64" i="37"/>
  <c r="J65" i="37"/>
  <c r="H65" i="37"/>
  <c r="I65" i="37"/>
  <c r="H36" i="8"/>
  <c r="F36" i="8"/>
  <c r="J22" i="37"/>
  <c r="J23" i="37"/>
  <c r="J24" i="37"/>
  <c r="J25" i="37"/>
  <c r="J26" i="37"/>
  <c r="J27" i="37"/>
  <c r="K28" i="37"/>
  <c r="J31" i="37"/>
  <c r="J32" i="37"/>
  <c r="J33" i="37"/>
  <c r="J34" i="37"/>
  <c r="J35" i="37"/>
  <c r="J36" i="37"/>
  <c r="J37" i="37"/>
  <c r="J38" i="37"/>
  <c r="J39" i="37"/>
  <c r="J40" i="37"/>
  <c r="K43" i="37"/>
  <c r="J46" i="37"/>
  <c r="K48" i="37"/>
  <c r="J51" i="37"/>
  <c r="J52" i="37"/>
  <c r="J53" i="37"/>
  <c r="J54" i="37"/>
  <c r="J55" i="37"/>
  <c r="J56" i="37"/>
  <c r="J66" i="37"/>
  <c r="J67" i="37"/>
  <c r="J68" i="37"/>
  <c r="K69" i="37"/>
  <c r="J71" i="37"/>
  <c r="J76" i="37"/>
  <c r="J77" i="37"/>
  <c r="J78" i="37"/>
  <c r="K79" i="37"/>
  <c r="K82" i="37"/>
  <c r="J80" i="37"/>
  <c r="K83" i="37"/>
  <c r="F83" i="37"/>
  <c r="B80" i="37"/>
  <c r="I80" i="37"/>
  <c r="H80" i="37"/>
  <c r="I78" i="37"/>
  <c r="H78" i="37"/>
  <c r="I77" i="37"/>
  <c r="H77" i="37"/>
  <c r="I76" i="37"/>
  <c r="H76" i="37"/>
  <c r="I71" i="37"/>
  <c r="H71" i="37"/>
  <c r="I68" i="37"/>
  <c r="H68" i="37"/>
  <c r="I67" i="37"/>
  <c r="H67" i="37"/>
  <c r="I66" i="37"/>
  <c r="H66" i="37"/>
  <c r="I56" i="37"/>
  <c r="H56" i="37"/>
  <c r="I55" i="37"/>
  <c r="H55" i="37"/>
  <c r="I54" i="37"/>
  <c r="H54" i="37"/>
  <c r="I53" i="37"/>
  <c r="H53" i="37"/>
  <c r="I52" i="37"/>
  <c r="H52" i="37"/>
  <c r="I51" i="37"/>
  <c r="H51" i="37"/>
  <c r="I46" i="37"/>
  <c r="H46" i="37"/>
  <c r="I40" i="37"/>
  <c r="H40" i="37"/>
  <c r="I39" i="37"/>
  <c r="H39" i="37"/>
  <c r="I38" i="37"/>
  <c r="H38" i="37"/>
  <c r="I37" i="37"/>
  <c r="H37" i="37"/>
  <c r="I36" i="37"/>
  <c r="H36" i="37"/>
  <c r="I35" i="37"/>
  <c r="H35" i="37"/>
  <c r="I34" i="37"/>
  <c r="H34" i="37"/>
  <c r="I33" i="37"/>
  <c r="H33" i="37"/>
  <c r="I32" i="37"/>
  <c r="H32" i="37"/>
  <c r="I31" i="37"/>
  <c r="H31" i="37"/>
  <c r="I27" i="37"/>
  <c r="H27" i="37"/>
  <c r="I26" i="37"/>
  <c r="H26" i="37"/>
  <c r="I25" i="37"/>
  <c r="H25" i="37"/>
  <c r="I24" i="37"/>
  <c r="H24" i="37"/>
  <c r="I23" i="37"/>
  <c r="H23" i="37"/>
  <c r="I22" i="37"/>
  <c r="H22" i="37"/>
  <c r="I18" i="37"/>
  <c r="H18" i="37"/>
  <c r="F13" i="37"/>
  <c r="F12" i="37"/>
  <c r="D8" i="37"/>
  <c r="E5" i="37"/>
  <c r="D12" i="35"/>
  <c r="M18" i="35"/>
  <c r="J22" i="35"/>
  <c r="J23" i="35"/>
  <c r="J24" i="35"/>
  <c r="J25" i="35"/>
  <c r="J26" i="35"/>
  <c r="J27" i="35"/>
  <c r="J28" i="35"/>
  <c r="J29" i="35"/>
  <c r="K30" i="35"/>
  <c r="J33" i="35"/>
  <c r="J34" i="35"/>
  <c r="J35" i="35"/>
  <c r="J36" i="35"/>
  <c r="J37" i="35"/>
  <c r="J38" i="35"/>
  <c r="J39" i="35"/>
  <c r="J40" i="35"/>
  <c r="J41" i="35"/>
  <c r="J42" i="35"/>
  <c r="J43" i="35"/>
  <c r="J44" i="35"/>
  <c r="J45" i="35"/>
  <c r="J47" i="35"/>
  <c r="K48" i="35"/>
  <c r="J51" i="35"/>
  <c r="K52" i="35"/>
  <c r="J55" i="35"/>
  <c r="J56" i="35"/>
  <c r="J57" i="35"/>
  <c r="J58" i="35"/>
  <c r="J59" i="35"/>
  <c r="J60" i="35"/>
  <c r="J61" i="35"/>
  <c r="J62" i="35"/>
  <c r="J63" i="35"/>
  <c r="J64" i="35"/>
  <c r="J65" i="35"/>
  <c r="J66" i="35"/>
  <c r="K67" i="35"/>
  <c r="J69" i="35"/>
  <c r="J70" i="35"/>
  <c r="J71" i="35"/>
  <c r="J72" i="35"/>
  <c r="J73" i="35"/>
  <c r="J74" i="35"/>
  <c r="K75" i="35"/>
  <c r="K78" i="35"/>
  <c r="D12" i="36"/>
  <c r="M18" i="36"/>
  <c r="J22" i="36"/>
  <c r="J23" i="36"/>
  <c r="J24" i="36"/>
  <c r="J25" i="36"/>
  <c r="J26" i="36"/>
  <c r="J27" i="36"/>
  <c r="J28" i="36"/>
  <c r="K29" i="36"/>
  <c r="J32" i="36"/>
  <c r="J33" i="36"/>
  <c r="J34" i="36"/>
  <c r="J35" i="36"/>
  <c r="J36" i="36"/>
  <c r="J37" i="36"/>
  <c r="J38" i="36"/>
  <c r="K39" i="36"/>
  <c r="J42" i="36"/>
  <c r="J43" i="36"/>
  <c r="K44" i="36"/>
  <c r="J47" i="36"/>
  <c r="J48" i="36"/>
  <c r="J49" i="36"/>
  <c r="J50" i="36"/>
  <c r="J51" i="36"/>
  <c r="J52" i="36"/>
  <c r="J53" i="36"/>
  <c r="J54" i="36"/>
  <c r="J55" i="36"/>
  <c r="J56" i="36"/>
  <c r="J57" i="36"/>
  <c r="J58" i="36"/>
  <c r="K59" i="36"/>
  <c r="J61" i="36"/>
  <c r="J62" i="36"/>
  <c r="J63" i="36"/>
  <c r="J64" i="36"/>
  <c r="J65" i="36"/>
  <c r="J66" i="36"/>
  <c r="J67" i="36"/>
  <c r="K68" i="36"/>
  <c r="K71" i="36"/>
  <c r="H47" i="35"/>
  <c r="I47" i="35"/>
  <c r="G36" i="8"/>
  <c r="E36" i="8"/>
  <c r="J69" i="36"/>
  <c r="F72" i="36"/>
  <c r="B69" i="36"/>
  <c r="I69" i="36"/>
  <c r="H69" i="36"/>
  <c r="I67" i="36"/>
  <c r="H67" i="36"/>
  <c r="I66" i="36"/>
  <c r="H66" i="36"/>
  <c r="I65" i="36"/>
  <c r="H65" i="36"/>
  <c r="I64" i="36"/>
  <c r="H64" i="36"/>
  <c r="I63" i="36"/>
  <c r="H63" i="36"/>
  <c r="I62" i="36"/>
  <c r="H62" i="36"/>
  <c r="I61" i="36"/>
  <c r="H61" i="36"/>
  <c r="I58" i="36"/>
  <c r="H58" i="36"/>
  <c r="I57" i="36"/>
  <c r="H57" i="36"/>
  <c r="I56" i="36"/>
  <c r="H56" i="36"/>
  <c r="I55" i="36"/>
  <c r="H55" i="36"/>
  <c r="I54" i="36"/>
  <c r="H54" i="36"/>
  <c r="I53" i="36"/>
  <c r="H53" i="36"/>
  <c r="I52" i="36"/>
  <c r="H52" i="36"/>
  <c r="I51" i="36"/>
  <c r="H51" i="36"/>
  <c r="I50" i="36"/>
  <c r="H50" i="36"/>
  <c r="I49" i="36"/>
  <c r="H49" i="36"/>
  <c r="I48" i="36"/>
  <c r="H48" i="36"/>
  <c r="I47" i="36"/>
  <c r="H47" i="36"/>
  <c r="I43" i="36"/>
  <c r="H43" i="36"/>
  <c r="I42" i="36"/>
  <c r="H42" i="36"/>
  <c r="I38" i="36"/>
  <c r="H38" i="36"/>
  <c r="I37" i="36"/>
  <c r="H37" i="36"/>
  <c r="I36" i="36"/>
  <c r="H36" i="36"/>
  <c r="I35" i="36"/>
  <c r="H35" i="36"/>
  <c r="I34" i="36"/>
  <c r="H34" i="36"/>
  <c r="I33" i="36"/>
  <c r="H33" i="36"/>
  <c r="I32" i="36"/>
  <c r="H32" i="36"/>
  <c r="I28" i="36"/>
  <c r="H28" i="36"/>
  <c r="I27" i="36"/>
  <c r="H27" i="36"/>
  <c r="I26" i="36"/>
  <c r="H26" i="36"/>
  <c r="I25" i="36"/>
  <c r="H25" i="36"/>
  <c r="I24" i="36"/>
  <c r="H24" i="36"/>
  <c r="I23" i="36"/>
  <c r="H23" i="36"/>
  <c r="I22" i="36"/>
  <c r="H22" i="36"/>
  <c r="I18" i="36"/>
  <c r="H18" i="36"/>
  <c r="F13" i="36"/>
  <c r="F12" i="36"/>
  <c r="D8" i="36"/>
  <c r="E5" i="36"/>
  <c r="H35" i="8"/>
  <c r="F35" i="8"/>
  <c r="F34" i="8"/>
  <c r="G35" i="8"/>
  <c r="E35" i="8"/>
  <c r="J76" i="35"/>
  <c r="K79" i="35"/>
  <c r="F79" i="35"/>
  <c r="B76" i="35"/>
  <c r="I76" i="35"/>
  <c r="H76" i="35"/>
  <c r="I74" i="35"/>
  <c r="H74" i="35"/>
  <c r="I73" i="35"/>
  <c r="H73" i="35"/>
  <c r="I72" i="35"/>
  <c r="H72" i="35"/>
  <c r="I71" i="35"/>
  <c r="H71" i="35"/>
  <c r="I70" i="35"/>
  <c r="H70" i="35"/>
  <c r="I69" i="35"/>
  <c r="H69" i="35"/>
  <c r="I66" i="35"/>
  <c r="H66" i="35"/>
  <c r="I65" i="35"/>
  <c r="H65" i="35"/>
  <c r="I64" i="35"/>
  <c r="H64" i="35"/>
  <c r="I63" i="35"/>
  <c r="H63" i="35"/>
  <c r="I62" i="35"/>
  <c r="H62" i="35"/>
  <c r="I61" i="35"/>
  <c r="H61" i="35"/>
  <c r="I60" i="35"/>
  <c r="H60" i="35"/>
  <c r="I59" i="35"/>
  <c r="H59" i="35"/>
  <c r="I58" i="35"/>
  <c r="H58" i="35"/>
  <c r="I57" i="35"/>
  <c r="H57" i="35"/>
  <c r="I56" i="35"/>
  <c r="H56" i="35"/>
  <c r="I55" i="35"/>
  <c r="H55" i="35"/>
  <c r="I51" i="35"/>
  <c r="H51" i="35"/>
  <c r="I45" i="35"/>
  <c r="H45" i="35"/>
  <c r="I44" i="35"/>
  <c r="H44" i="35"/>
  <c r="I43" i="35"/>
  <c r="H43" i="35"/>
  <c r="I42" i="35"/>
  <c r="H42" i="35"/>
  <c r="I41" i="35"/>
  <c r="H41" i="35"/>
  <c r="I40" i="35"/>
  <c r="H40" i="35"/>
  <c r="I39" i="35"/>
  <c r="H39" i="35"/>
  <c r="I38" i="35"/>
  <c r="H38" i="35"/>
  <c r="I37" i="35"/>
  <c r="H37" i="35"/>
  <c r="I36" i="35"/>
  <c r="H36" i="35"/>
  <c r="I35" i="35"/>
  <c r="H35" i="35"/>
  <c r="I34" i="35"/>
  <c r="H34" i="35"/>
  <c r="I33" i="35"/>
  <c r="H33" i="35"/>
  <c r="I29" i="35"/>
  <c r="H29" i="35"/>
  <c r="I28" i="35"/>
  <c r="H28" i="35"/>
  <c r="I27" i="35"/>
  <c r="H27" i="35"/>
  <c r="I26" i="35"/>
  <c r="H26" i="35"/>
  <c r="I25" i="35"/>
  <c r="H25" i="35"/>
  <c r="I24" i="35"/>
  <c r="H24" i="35"/>
  <c r="I23" i="35"/>
  <c r="H23" i="35"/>
  <c r="I22" i="35"/>
  <c r="H22" i="35"/>
  <c r="I18" i="35"/>
  <c r="H18" i="35"/>
  <c r="F13" i="35"/>
  <c r="F12" i="35"/>
  <c r="D8" i="35"/>
  <c r="E5" i="35"/>
  <c r="D12" i="34"/>
  <c r="M18" i="34"/>
  <c r="J31" i="34"/>
  <c r="J32" i="34"/>
  <c r="J33" i="34"/>
  <c r="J34" i="34"/>
  <c r="J35" i="34"/>
  <c r="J36" i="34"/>
  <c r="J37" i="34"/>
  <c r="J38" i="34"/>
  <c r="J39" i="34"/>
  <c r="J40" i="34"/>
  <c r="J42" i="34"/>
  <c r="K43" i="34"/>
  <c r="I42" i="34"/>
  <c r="H42" i="34"/>
  <c r="G34" i="8"/>
  <c r="E34" i="8"/>
  <c r="H33" i="8"/>
  <c r="F33" i="8"/>
  <c r="E33" i="8"/>
  <c r="F32" i="8"/>
  <c r="J22" i="34"/>
  <c r="J23" i="34"/>
  <c r="J24" i="34"/>
  <c r="J25" i="34"/>
  <c r="J26" i="34"/>
  <c r="J27" i="34"/>
  <c r="K28" i="34"/>
  <c r="J46" i="34"/>
  <c r="J47" i="34"/>
  <c r="K48" i="34"/>
  <c r="J51" i="34"/>
  <c r="J52" i="34"/>
  <c r="J53" i="34"/>
  <c r="J54" i="34"/>
  <c r="J55" i="34"/>
  <c r="J56" i="34"/>
  <c r="J57" i="34"/>
  <c r="J58" i="34"/>
  <c r="J59" i="34"/>
  <c r="K60" i="34"/>
  <c r="K63" i="34"/>
  <c r="J61" i="34"/>
  <c r="K64" i="34"/>
  <c r="F64" i="34"/>
  <c r="B61" i="34"/>
  <c r="I61" i="34"/>
  <c r="H61" i="34"/>
  <c r="I59" i="34"/>
  <c r="H59" i="34"/>
  <c r="I58" i="34"/>
  <c r="H58" i="34"/>
  <c r="I57" i="34"/>
  <c r="H57" i="34"/>
  <c r="I56" i="34"/>
  <c r="H56" i="34"/>
  <c r="I55" i="34"/>
  <c r="H55" i="34"/>
  <c r="I54" i="34"/>
  <c r="H54" i="34"/>
  <c r="I53" i="34"/>
  <c r="H53" i="34"/>
  <c r="I52" i="34"/>
  <c r="H52" i="34"/>
  <c r="I51" i="34"/>
  <c r="H51" i="34"/>
  <c r="I47" i="34"/>
  <c r="H47" i="34"/>
  <c r="I46" i="34"/>
  <c r="H46" i="34"/>
  <c r="I40" i="34"/>
  <c r="H40" i="34"/>
  <c r="I39" i="34"/>
  <c r="H39" i="34"/>
  <c r="I38" i="34"/>
  <c r="H38" i="34"/>
  <c r="I37" i="34"/>
  <c r="H37" i="34"/>
  <c r="I36" i="34"/>
  <c r="H36" i="34"/>
  <c r="I35" i="34"/>
  <c r="H35" i="34"/>
  <c r="I34" i="34"/>
  <c r="H34" i="34"/>
  <c r="I33" i="34"/>
  <c r="H33" i="34"/>
  <c r="I32" i="34"/>
  <c r="H32" i="34"/>
  <c r="I31" i="34"/>
  <c r="H31" i="34"/>
  <c r="I27" i="34"/>
  <c r="H27" i="34"/>
  <c r="I26" i="34"/>
  <c r="H26" i="34"/>
  <c r="I25" i="34"/>
  <c r="H25" i="34"/>
  <c r="I24" i="34"/>
  <c r="H24" i="34"/>
  <c r="I23" i="34"/>
  <c r="H23" i="34"/>
  <c r="I22" i="34"/>
  <c r="H22" i="34"/>
  <c r="I18" i="34"/>
  <c r="H18" i="34"/>
  <c r="F13" i="34"/>
  <c r="F12" i="34"/>
  <c r="D8" i="34"/>
  <c r="E5" i="34"/>
  <c r="H53" i="32"/>
  <c r="I53" i="32"/>
  <c r="H54" i="32"/>
  <c r="I54" i="32"/>
  <c r="H32" i="8"/>
  <c r="H31" i="8"/>
  <c r="G32" i="8"/>
  <c r="H72" i="32"/>
  <c r="I72" i="32"/>
  <c r="G33" i="8"/>
  <c r="E32" i="8"/>
  <c r="J74" i="33"/>
  <c r="K77" i="33"/>
  <c r="F77" i="33"/>
  <c r="B74" i="33"/>
  <c r="I74" i="33"/>
  <c r="H74" i="33"/>
  <c r="I72" i="33"/>
  <c r="H72" i="33"/>
  <c r="I71" i="33"/>
  <c r="H71" i="33"/>
  <c r="I70" i="33"/>
  <c r="H70" i="33"/>
  <c r="I69" i="33"/>
  <c r="H69" i="33"/>
  <c r="I68" i="33"/>
  <c r="H68" i="33"/>
  <c r="I65" i="33"/>
  <c r="H65" i="33"/>
  <c r="I64" i="33"/>
  <c r="H64" i="33"/>
  <c r="I63" i="33"/>
  <c r="H63" i="33"/>
  <c r="I62" i="33"/>
  <c r="H62" i="33"/>
  <c r="I61" i="33"/>
  <c r="H61" i="33"/>
  <c r="I60" i="33"/>
  <c r="H60" i="33"/>
  <c r="I59" i="33"/>
  <c r="H59" i="33"/>
  <c r="I58" i="33"/>
  <c r="H58" i="33"/>
  <c r="I57" i="33"/>
  <c r="H57" i="33"/>
  <c r="I56" i="33"/>
  <c r="H56" i="33"/>
  <c r="I55" i="33"/>
  <c r="H55" i="33"/>
  <c r="I54" i="33"/>
  <c r="H54" i="33"/>
  <c r="I53" i="33"/>
  <c r="H53" i="33"/>
  <c r="I52" i="33"/>
  <c r="H52" i="33"/>
  <c r="I51" i="33"/>
  <c r="H51" i="33"/>
  <c r="I47" i="33"/>
  <c r="H47" i="33"/>
  <c r="I43" i="33"/>
  <c r="H43" i="33"/>
  <c r="I42" i="33"/>
  <c r="H42" i="33"/>
  <c r="I41" i="33"/>
  <c r="H41" i="33"/>
  <c r="I40" i="33"/>
  <c r="H40" i="33"/>
  <c r="I39" i="33"/>
  <c r="H39" i="33"/>
  <c r="I38" i="33"/>
  <c r="H38" i="33"/>
  <c r="I37" i="33"/>
  <c r="H37" i="33"/>
  <c r="I36" i="33"/>
  <c r="H36" i="33"/>
  <c r="I35" i="33"/>
  <c r="H35" i="33"/>
  <c r="I34" i="33"/>
  <c r="H34" i="33"/>
  <c r="I33" i="33"/>
  <c r="H33" i="33"/>
  <c r="I32" i="33"/>
  <c r="H32" i="33"/>
  <c r="I28" i="33"/>
  <c r="H28" i="33"/>
  <c r="I27" i="33"/>
  <c r="H27" i="33"/>
  <c r="I26" i="33"/>
  <c r="H26" i="33"/>
  <c r="I25" i="33"/>
  <c r="H25" i="33"/>
  <c r="I24" i="33"/>
  <c r="H24" i="33"/>
  <c r="I23" i="33"/>
  <c r="H23" i="33"/>
  <c r="I22" i="33"/>
  <c r="H22" i="33"/>
  <c r="I18" i="33"/>
  <c r="H18" i="33"/>
  <c r="F13" i="33"/>
  <c r="F12" i="33"/>
  <c r="D8" i="33"/>
  <c r="E5" i="33"/>
  <c r="H45" i="32"/>
  <c r="I45" i="32"/>
  <c r="H46" i="32"/>
  <c r="I46" i="32"/>
  <c r="J80" i="32"/>
  <c r="K83" i="32"/>
  <c r="F83" i="32"/>
  <c r="B80" i="32"/>
  <c r="I80" i="32"/>
  <c r="H80" i="32"/>
  <c r="I78" i="32"/>
  <c r="H78" i="32"/>
  <c r="I77" i="32"/>
  <c r="H77" i="32"/>
  <c r="I76" i="32"/>
  <c r="H76" i="32"/>
  <c r="I75" i="32"/>
  <c r="H75" i="32"/>
  <c r="I71" i="32"/>
  <c r="H71" i="32"/>
  <c r="I70" i="32"/>
  <c r="H70" i="32"/>
  <c r="I69" i="32"/>
  <c r="H69" i="32"/>
  <c r="I68" i="32"/>
  <c r="H68" i="32"/>
  <c r="I67" i="32"/>
  <c r="H67" i="32"/>
  <c r="I66" i="32"/>
  <c r="H66" i="32"/>
  <c r="I65" i="32"/>
  <c r="H65" i="32"/>
  <c r="I64" i="32"/>
  <c r="H64" i="32"/>
  <c r="I63" i="32"/>
  <c r="H63" i="32"/>
  <c r="I62" i="32"/>
  <c r="H62" i="32"/>
  <c r="I61" i="32"/>
  <c r="H61" i="32"/>
  <c r="I60" i="32"/>
  <c r="H60" i="32"/>
  <c r="I59" i="32"/>
  <c r="H59" i="32"/>
  <c r="I58" i="32"/>
  <c r="H58" i="32"/>
  <c r="I52" i="32"/>
  <c r="H52" i="32"/>
  <c r="I48" i="32"/>
  <c r="H48" i="32"/>
  <c r="I44" i="32"/>
  <c r="H44" i="32"/>
  <c r="I43" i="32"/>
  <c r="H43" i="32"/>
  <c r="I42" i="32"/>
  <c r="H42" i="32"/>
  <c r="I41" i="32"/>
  <c r="H41" i="32"/>
  <c r="I40" i="32"/>
  <c r="H40" i="32"/>
  <c r="I39" i="32"/>
  <c r="H39" i="32"/>
  <c r="I38" i="32"/>
  <c r="H38" i="32"/>
  <c r="I37" i="32"/>
  <c r="H37" i="32"/>
  <c r="I36" i="32"/>
  <c r="H36" i="32"/>
  <c r="I35" i="32"/>
  <c r="H35" i="32"/>
  <c r="I34" i="32"/>
  <c r="H34" i="32"/>
  <c r="I33" i="32"/>
  <c r="H33" i="32"/>
  <c r="I29" i="32"/>
  <c r="H29" i="32"/>
  <c r="I28" i="32"/>
  <c r="H28" i="32"/>
  <c r="I27" i="32"/>
  <c r="H27" i="32"/>
  <c r="I26" i="32"/>
  <c r="H26" i="32"/>
  <c r="I25" i="32"/>
  <c r="H25" i="32"/>
  <c r="I24" i="32"/>
  <c r="H24" i="32"/>
  <c r="I23" i="32"/>
  <c r="H23" i="32"/>
  <c r="I22" i="32"/>
  <c r="H22" i="32"/>
  <c r="I18" i="32"/>
  <c r="H18" i="32"/>
  <c r="F13" i="32"/>
  <c r="F12" i="32"/>
  <c r="D8" i="32"/>
  <c r="E5" i="32"/>
  <c r="F31" i="8"/>
  <c r="F30" i="8"/>
  <c r="H64" i="31"/>
  <c r="I64" i="31"/>
  <c r="H65" i="31"/>
  <c r="I65" i="31"/>
  <c r="H66" i="31"/>
  <c r="I66" i="31"/>
  <c r="H67" i="31"/>
  <c r="I67" i="31"/>
  <c r="B73" i="31"/>
  <c r="G31" i="8"/>
  <c r="E31" i="8"/>
  <c r="H51" i="31"/>
  <c r="I51" i="31"/>
  <c r="J73" i="31"/>
  <c r="K76" i="31"/>
  <c r="F76" i="31"/>
  <c r="I73" i="31"/>
  <c r="H73" i="31"/>
  <c r="I71" i="31"/>
  <c r="H71" i="31"/>
  <c r="I70" i="31"/>
  <c r="H70" i="31"/>
  <c r="I69" i="31"/>
  <c r="H69" i="31"/>
  <c r="I68" i="31"/>
  <c r="H68" i="31"/>
  <c r="I63" i="31"/>
  <c r="H63" i="31"/>
  <c r="I60" i="31"/>
  <c r="H60" i="31"/>
  <c r="I59" i="31"/>
  <c r="H59" i="31"/>
  <c r="I58" i="31"/>
  <c r="H58" i="31"/>
  <c r="I57" i="31"/>
  <c r="H57" i="31"/>
  <c r="I56" i="31"/>
  <c r="H56" i="31"/>
  <c r="I55" i="31"/>
  <c r="H55" i="31"/>
  <c r="I54" i="31"/>
  <c r="H54" i="31"/>
  <c r="I53" i="31"/>
  <c r="H53" i="31"/>
  <c r="I52" i="31"/>
  <c r="H52" i="31"/>
  <c r="I50" i="31"/>
  <c r="H50" i="31"/>
  <c r="I46" i="31"/>
  <c r="H46" i="31"/>
  <c r="I42" i="31"/>
  <c r="H42" i="31"/>
  <c r="I40" i="31"/>
  <c r="H40" i="31"/>
  <c r="I39" i="31"/>
  <c r="H39" i="31"/>
  <c r="I38" i="31"/>
  <c r="H38" i="31"/>
  <c r="I37" i="31"/>
  <c r="H37" i="31"/>
  <c r="I36" i="31"/>
  <c r="H36" i="31"/>
  <c r="I35" i="31"/>
  <c r="H35" i="31"/>
  <c r="I34" i="31"/>
  <c r="H34" i="31"/>
  <c r="I33" i="31"/>
  <c r="H33" i="31"/>
  <c r="I32" i="31"/>
  <c r="H32" i="31"/>
  <c r="I31" i="31"/>
  <c r="H31" i="31"/>
  <c r="I27" i="31"/>
  <c r="H27" i="31"/>
  <c r="I26" i="31"/>
  <c r="H26" i="31"/>
  <c r="I25" i="31"/>
  <c r="H25" i="31"/>
  <c r="I24" i="31"/>
  <c r="H24" i="31"/>
  <c r="I23" i="31"/>
  <c r="H23" i="31"/>
  <c r="I22" i="31"/>
  <c r="H22" i="31"/>
  <c r="I18" i="31"/>
  <c r="H18" i="31"/>
  <c r="F13" i="31"/>
  <c r="F12" i="31"/>
  <c r="D8" i="31"/>
  <c r="E5" i="31"/>
  <c r="H30" i="8"/>
  <c r="G30" i="8"/>
  <c r="E30" i="8"/>
  <c r="J78" i="30"/>
  <c r="F81" i="30"/>
  <c r="B78" i="30"/>
  <c r="I78" i="30"/>
  <c r="H78" i="30"/>
  <c r="I76" i="30"/>
  <c r="H76" i="30"/>
  <c r="I75" i="30"/>
  <c r="H75" i="30"/>
  <c r="I74" i="30"/>
  <c r="H74" i="30"/>
  <c r="I73" i="30"/>
  <c r="H73" i="30"/>
  <c r="I70" i="30"/>
  <c r="H70" i="30"/>
  <c r="I69" i="30"/>
  <c r="H69" i="30"/>
  <c r="I68" i="30"/>
  <c r="H68" i="30"/>
  <c r="I67" i="30"/>
  <c r="H67" i="30"/>
  <c r="I66" i="30"/>
  <c r="H66" i="30"/>
  <c r="I65" i="30"/>
  <c r="H65" i="30"/>
  <c r="I64" i="30"/>
  <c r="H64" i="30"/>
  <c r="I63" i="30"/>
  <c r="H63" i="30"/>
  <c r="I62" i="30"/>
  <c r="H62" i="30"/>
  <c r="I61" i="30"/>
  <c r="H61" i="30"/>
  <c r="I60" i="30"/>
  <c r="H60" i="30"/>
  <c r="I59" i="30"/>
  <c r="H59" i="30"/>
  <c r="I55" i="30"/>
  <c r="H55" i="30"/>
  <c r="I51" i="30"/>
  <c r="H51" i="30"/>
  <c r="I49" i="30"/>
  <c r="H49" i="30"/>
  <c r="I48" i="30"/>
  <c r="H48" i="30"/>
  <c r="I47" i="30"/>
  <c r="H47" i="30"/>
  <c r="I46" i="30"/>
  <c r="H46" i="30"/>
  <c r="I45" i="30"/>
  <c r="H45" i="30"/>
  <c r="I44" i="30"/>
  <c r="H44" i="30"/>
  <c r="I43" i="30"/>
  <c r="H43" i="30"/>
  <c r="I42" i="30"/>
  <c r="H42" i="30"/>
  <c r="I41" i="30"/>
  <c r="H41" i="30"/>
  <c r="I40" i="30"/>
  <c r="H40" i="30"/>
  <c r="I39" i="30"/>
  <c r="H39" i="30"/>
  <c r="I38" i="30"/>
  <c r="H38" i="30"/>
  <c r="I37" i="30"/>
  <c r="H37" i="30"/>
  <c r="I36" i="30"/>
  <c r="H36" i="30"/>
  <c r="I35" i="30"/>
  <c r="H35" i="30"/>
  <c r="I34" i="30"/>
  <c r="H34" i="30"/>
  <c r="I33" i="30"/>
  <c r="H33" i="30"/>
  <c r="I29" i="30"/>
  <c r="H29" i="30"/>
  <c r="I28" i="30"/>
  <c r="H28" i="30"/>
  <c r="I27" i="30"/>
  <c r="H27" i="30"/>
  <c r="I26" i="30"/>
  <c r="H26" i="30"/>
  <c r="I25" i="30"/>
  <c r="H25" i="30"/>
  <c r="I24" i="30"/>
  <c r="H24" i="30"/>
  <c r="I23" i="30"/>
  <c r="H23" i="30"/>
  <c r="I22" i="30"/>
  <c r="H22" i="30"/>
  <c r="I18" i="30"/>
  <c r="H18" i="30"/>
  <c r="F13" i="30"/>
  <c r="F12" i="30"/>
  <c r="D8" i="30"/>
  <c r="E5" i="30"/>
  <c r="H29" i="8"/>
  <c r="G29" i="8"/>
  <c r="F29" i="8"/>
  <c r="E29" i="8"/>
  <c r="I41" i="29"/>
  <c r="H41" i="29"/>
  <c r="H63" i="29"/>
  <c r="I63" i="29"/>
  <c r="H64" i="29"/>
  <c r="I64" i="29"/>
  <c r="H65" i="29"/>
  <c r="I65" i="29"/>
  <c r="H66" i="29"/>
  <c r="I66" i="29"/>
  <c r="H67" i="29"/>
  <c r="I67" i="29"/>
  <c r="J72" i="29"/>
  <c r="K75" i="29"/>
  <c r="F75" i="29"/>
  <c r="B72" i="29"/>
  <c r="I72" i="29"/>
  <c r="H72" i="29"/>
  <c r="I70" i="29"/>
  <c r="H70" i="29"/>
  <c r="I69" i="29"/>
  <c r="H69" i="29"/>
  <c r="I68" i="29"/>
  <c r="H68" i="29"/>
  <c r="I62" i="29"/>
  <c r="H62" i="29"/>
  <c r="I59" i="29"/>
  <c r="H59" i="29"/>
  <c r="I58" i="29"/>
  <c r="H58" i="29"/>
  <c r="I57" i="29"/>
  <c r="H57" i="29"/>
  <c r="I56" i="29"/>
  <c r="H56" i="29"/>
  <c r="I55" i="29"/>
  <c r="H55" i="29"/>
  <c r="I54" i="29"/>
  <c r="H54" i="29"/>
  <c r="I53" i="29"/>
  <c r="H53" i="29"/>
  <c r="I52" i="29"/>
  <c r="H52" i="29"/>
  <c r="I51" i="29"/>
  <c r="H51" i="29"/>
  <c r="I50" i="29"/>
  <c r="H50" i="29"/>
  <c r="I46" i="29"/>
  <c r="H46" i="29"/>
  <c r="I42" i="29"/>
  <c r="H42" i="29"/>
  <c r="I39" i="29"/>
  <c r="H39" i="29"/>
  <c r="I38" i="29"/>
  <c r="H38" i="29"/>
  <c r="I37" i="29"/>
  <c r="H37" i="29"/>
  <c r="I36" i="29"/>
  <c r="H36" i="29"/>
  <c r="I35" i="29"/>
  <c r="H35" i="29"/>
  <c r="I34" i="29"/>
  <c r="H34" i="29"/>
  <c r="I33" i="29"/>
  <c r="H33" i="29"/>
  <c r="I32" i="29"/>
  <c r="H32" i="29"/>
  <c r="I28" i="29"/>
  <c r="H28" i="29"/>
  <c r="I27" i="29"/>
  <c r="H27" i="29"/>
  <c r="I26" i="29"/>
  <c r="H26" i="29"/>
  <c r="I25" i="29"/>
  <c r="H25" i="29"/>
  <c r="I24" i="29"/>
  <c r="H24" i="29"/>
  <c r="I23" i="29"/>
  <c r="H23" i="29"/>
  <c r="I22" i="29"/>
  <c r="H22" i="29"/>
  <c r="I18" i="29"/>
  <c r="H18" i="29"/>
  <c r="F13" i="29"/>
  <c r="F12" i="29"/>
  <c r="D8" i="29"/>
  <c r="E5" i="29"/>
  <c r="H28" i="8"/>
  <c r="F28" i="8"/>
  <c r="M69" i="28"/>
  <c r="H78" i="28"/>
  <c r="I78" i="28"/>
  <c r="G28" i="8"/>
  <c r="E28" i="8"/>
  <c r="H37" i="28"/>
  <c r="I37" i="28"/>
  <c r="H38" i="28"/>
  <c r="I38" i="28"/>
  <c r="H39" i="28"/>
  <c r="I39" i="28"/>
  <c r="H40" i="28"/>
  <c r="I40" i="28"/>
  <c r="H41" i="28"/>
  <c r="I41" i="28"/>
  <c r="H27" i="8"/>
  <c r="G27" i="8"/>
  <c r="F27" i="8"/>
  <c r="E27" i="8"/>
  <c r="J80" i="28"/>
  <c r="K83" i="28"/>
  <c r="F83" i="28"/>
  <c r="B80" i="28"/>
  <c r="I80" i="28"/>
  <c r="H80" i="28"/>
  <c r="I77" i="28"/>
  <c r="H77" i="28"/>
  <c r="I75" i="28"/>
  <c r="H75" i="28"/>
  <c r="I76" i="28"/>
  <c r="H76" i="28"/>
  <c r="I72" i="28"/>
  <c r="H72" i="28"/>
  <c r="I71" i="28"/>
  <c r="H71" i="28"/>
  <c r="I70" i="28"/>
  <c r="H70" i="28"/>
  <c r="I69" i="28"/>
  <c r="H69" i="28"/>
  <c r="I68" i="28"/>
  <c r="H68" i="28"/>
  <c r="I67" i="28"/>
  <c r="H67" i="28"/>
  <c r="I66" i="28"/>
  <c r="H66" i="28"/>
  <c r="I65" i="28"/>
  <c r="H65" i="28"/>
  <c r="I64" i="28"/>
  <c r="H64" i="28"/>
  <c r="I63" i="28"/>
  <c r="H63" i="28"/>
  <c r="I62" i="28"/>
  <c r="H62" i="28"/>
  <c r="I61" i="28"/>
  <c r="H61" i="28"/>
  <c r="I60" i="28"/>
  <c r="H60" i="28"/>
  <c r="I56" i="28"/>
  <c r="H56" i="28"/>
  <c r="I55" i="28"/>
  <c r="H55" i="28"/>
  <c r="I51" i="28"/>
  <c r="H51" i="28"/>
  <c r="I49" i="28"/>
  <c r="H49" i="28"/>
  <c r="I48" i="28"/>
  <c r="H48" i="28"/>
  <c r="I47" i="28"/>
  <c r="H47" i="28"/>
  <c r="I46" i="28"/>
  <c r="H46" i="28"/>
  <c r="I45" i="28"/>
  <c r="H45" i="28"/>
  <c r="I44" i="28"/>
  <c r="H44" i="28"/>
  <c r="I43" i="28"/>
  <c r="H43" i="28"/>
  <c r="I42" i="28"/>
  <c r="H42" i="28"/>
  <c r="I36" i="28"/>
  <c r="H36" i="28"/>
  <c r="I35" i="28"/>
  <c r="H35" i="28"/>
  <c r="I34" i="28"/>
  <c r="H34" i="28"/>
  <c r="I33" i="28"/>
  <c r="H33" i="28"/>
  <c r="I32" i="28"/>
  <c r="H32" i="28"/>
  <c r="I31" i="28"/>
  <c r="H31" i="28"/>
  <c r="I27" i="28"/>
  <c r="H27" i="28"/>
  <c r="I26" i="28"/>
  <c r="H26" i="28"/>
  <c r="I25" i="28"/>
  <c r="H25" i="28"/>
  <c r="I24" i="28"/>
  <c r="H24" i="28"/>
  <c r="I23" i="28"/>
  <c r="H23" i="28"/>
  <c r="I22" i="28"/>
  <c r="H22" i="28"/>
  <c r="I18" i="28"/>
  <c r="H18" i="28"/>
  <c r="F13" i="28"/>
  <c r="F12" i="28"/>
  <c r="D8" i="28"/>
  <c r="E5" i="28"/>
  <c r="D12" i="27"/>
  <c r="M18" i="27"/>
  <c r="J22" i="27"/>
  <c r="J23" i="27"/>
  <c r="J24" i="27"/>
  <c r="J25" i="27"/>
  <c r="J26" i="27"/>
  <c r="J27" i="27"/>
  <c r="J28" i="27"/>
  <c r="K29" i="27"/>
  <c r="J32" i="27"/>
  <c r="J33" i="27"/>
  <c r="J34" i="27"/>
  <c r="J35" i="27"/>
  <c r="J36" i="27"/>
  <c r="J37" i="27"/>
  <c r="J38" i="27"/>
  <c r="J39" i="27"/>
  <c r="J40" i="27"/>
  <c r="J41" i="27"/>
  <c r="J42" i="27"/>
  <c r="J44" i="27"/>
  <c r="K45" i="27"/>
  <c r="J48" i="27"/>
  <c r="J49" i="27"/>
  <c r="K50" i="27"/>
  <c r="J53" i="27"/>
  <c r="J54" i="27"/>
  <c r="J55" i="27"/>
  <c r="J56" i="27"/>
  <c r="J57" i="27"/>
  <c r="J58" i="27"/>
  <c r="J59" i="27"/>
  <c r="J60" i="27"/>
  <c r="J61" i="27"/>
  <c r="J62" i="27"/>
  <c r="J63" i="27"/>
  <c r="J64" i="27"/>
  <c r="J65" i="27"/>
  <c r="J66" i="27"/>
  <c r="K67" i="27"/>
  <c r="J69" i="27"/>
  <c r="J70" i="27"/>
  <c r="J71" i="27"/>
  <c r="J72" i="27"/>
  <c r="J73" i="27"/>
  <c r="J74" i="27"/>
  <c r="J75" i="27"/>
  <c r="K76" i="27"/>
  <c r="K79" i="27"/>
  <c r="J77" i="27"/>
  <c r="K80" i="27"/>
  <c r="F80" i="27"/>
  <c r="B77" i="27"/>
  <c r="I77" i="27"/>
  <c r="H77" i="27"/>
  <c r="I75" i="27"/>
  <c r="H75" i="27"/>
  <c r="I74" i="27"/>
  <c r="H74" i="27"/>
  <c r="I73" i="27"/>
  <c r="H73" i="27"/>
  <c r="I72" i="27"/>
  <c r="H72" i="27"/>
  <c r="I71" i="27"/>
  <c r="H71" i="27"/>
  <c r="I70" i="27"/>
  <c r="H70" i="27"/>
  <c r="I69" i="27"/>
  <c r="H69" i="27"/>
  <c r="I62" i="27"/>
  <c r="H62" i="27"/>
  <c r="I66" i="27"/>
  <c r="H66" i="27"/>
  <c r="I65" i="27"/>
  <c r="H65" i="27"/>
  <c r="I64" i="27"/>
  <c r="H64" i="27"/>
  <c r="I63" i="27"/>
  <c r="H63" i="27"/>
  <c r="I61" i="27"/>
  <c r="H61" i="27"/>
  <c r="I60" i="27"/>
  <c r="H60" i="27"/>
  <c r="I59" i="27"/>
  <c r="H59" i="27"/>
  <c r="I58" i="27"/>
  <c r="H58" i="27"/>
  <c r="I57" i="27"/>
  <c r="H57" i="27"/>
  <c r="I56" i="27"/>
  <c r="H56" i="27"/>
  <c r="I55" i="27"/>
  <c r="H55" i="27"/>
  <c r="I54" i="27"/>
  <c r="H54" i="27"/>
  <c r="I53" i="27"/>
  <c r="H53" i="27"/>
  <c r="I49" i="27"/>
  <c r="H49" i="27"/>
  <c r="I48" i="27"/>
  <c r="H48" i="27"/>
  <c r="I44" i="27"/>
  <c r="H44" i="27"/>
  <c r="I42" i="27"/>
  <c r="H42" i="27"/>
  <c r="I41" i="27"/>
  <c r="H41" i="27"/>
  <c r="I40" i="27"/>
  <c r="H40" i="27"/>
  <c r="I39" i="27"/>
  <c r="H39" i="27"/>
  <c r="I38" i="27"/>
  <c r="H38" i="27"/>
  <c r="I37" i="27"/>
  <c r="H37" i="27"/>
  <c r="I36" i="27"/>
  <c r="H36" i="27"/>
  <c r="I35" i="27"/>
  <c r="H35" i="27"/>
  <c r="I34" i="27"/>
  <c r="H34" i="27"/>
  <c r="I33" i="27"/>
  <c r="H33" i="27"/>
  <c r="I32" i="27"/>
  <c r="H32" i="27"/>
  <c r="I28" i="27"/>
  <c r="H28" i="27"/>
  <c r="I27" i="27"/>
  <c r="H27" i="27"/>
  <c r="I26" i="27"/>
  <c r="H26" i="27"/>
  <c r="I25" i="27"/>
  <c r="H25" i="27"/>
  <c r="I24" i="27"/>
  <c r="H24" i="27"/>
  <c r="I23" i="27"/>
  <c r="H23" i="27"/>
  <c r="I22" i="27"/>
  <c r="H22" i="27"/>
  <c r="I18" i="27"/>
  <c r="H18" i="27"/>
  <c r="F13" i="27"/>
  <c r="F12" i="27"/>
  <c r="D8" i="27"/>
  <c r="E5" i="27"/>
  <c r="F26" i="8"/>
  <c r="H50" i="26"/>
  <c r="I50" i="26"/>
  <c r="H26" i="8"/>
  <c r="G26" i="8"/>
  <c r="E26" i="8"/>
  <c r="H70" i="26"/>
  <c r="I70" i="26"/>
  <c r="H71" i="26"/>
  <c r="I71" i="26"/>
  <c r="F20" i="8"/>
  <c r="F18" i="8"/>
  <c r="B76" i="26"/>
  <c r="I76" i="26"/>
  <c r="I74" i="26"/>
  <c r="H74" i="26"/>
  <c r="I73" i="26"/>
  <c r="H73" i="26"/>
  <c r="I72" i="26"/>
  <c r="H72" i="26"/>
  <c r="I69" i="26"/>
  <c r="H69" i="26"/>
  <c r="I68" i="26"/>
  <c r="H68" i="26"/>
  <c r="I65" i="26"/>
  <c r="H65" i="26"/>
  <c r="I64" i="26"/>
  <c r="H64" i="26"/>
  <c r="I63" i="26"/>
  <c r="I62" i="26"/>
  <c r="I61" i="26"/>
  <c r="I60" i="26"/>
  <c r="I59" i="26"/>
  <c r="I58" i="26"/>
  <c r="I57" i="26"/>
  <c r="I56" i="26"/>
  <c r="H56" i="26"/>
  <c r="I55" i="26"/>
  <c r="I54" i="26"/>
  <c r="I46" i="26"/>
  <c r="H46" i="26"/>
  <c r="I44" i="26"/>
  <c r="I43" i="26"/>
  <c r="H43" i="26"/>
  <c r="I42" i="26"/>
  <c r="I41" i="26"/>
  <c r="I40" i="26"/>
  <c r="I39" i="26"/>
  <c r="I38" i="26"/>
  <c r="I37" i="26"/>
  <c r="I36" i="26"/>
  <c r="I35" i="26"/>
  <c r="I34" i="26"/>
  <c r="I33" i="26"/>
  <c r="I29" i="26"/>
  <c r="I28" i="26"/>
  <c r="I27" i="26"/>
  <c r="I26" i="26"/>
  <c r="I25" i="26"/>
  <c r="H25" i="26"/>
  <c r="I24" i="26"/>
  <c r="I23" i="26"/>
  <c r="I22" i="26"/>
  <c r="I18" i="26"/>
  <c r="H18" i="26"/>
  <c r="F13" i="26"/>
  <c r="D8" i="26"/>
  <c r="E5" i="26"/>
  <c r="F25" i="8"/>
  <c r="D12" i="19"/>
  <c r="M18" i="19"/>
  <c r="J68" i="19"/>
  <c r="J69" i="19"/>
  <c r="J70" i="19"/>
  <c r="J71" i="19"/>
  <c r="J72" i="19"/>
  <c r="J73" i="19"/>
  <c r="J74" i="19"/>
  <c r="K75" i="19"/>
  <c r="I74" i="19"/>
  <c r="H74" i="19"/>
  <c r="D12" i="25"/>
  <c r="M18" i="25"/>
  <c r="J70" i="25"/>
  <c r="H70" i="25"/>
  <c r="I70" i="25"/>
  <c r="J64" i="25"/>
  <c r="H64" i="25"/>
  <c r="I64" i="25"/>
  <c r="J65" i="25"/>
  <c r="H65" i="25"/>
  <c r="I65" i="25"/>
  <c r="J66" i="25"/>
  <c r="H66" i="25"/>
  <c r="I66" i="25"/>
  <c r="J67" i="25"/>
  <c r="H67" i="25"/>
  <c r="I67" i="25"/>
  <c r="J68" i="25"/>
  <c r="H68" i="25"/>
  <c r="I68" i="25"/>
  <c r="J69" i="25"/>
  <c r="H69" i="25"/>
  <c r="I69" i="25"/>
  <c r="K71" i="25"/>
  <c r="B72" i="25"/>
  <c r="J72" i="25"/>
  <c r="H72" i="25"/>
  <c r="I72" i="25"/>
  <c r="J22" i="25"/>
  <c r="J23" i="25"/>
  <c r="J24" i="25"/>
  <c r="J25" i="25"/>
  <c r="J26" i="25"/>
  <c r="J27" i="25"/>
  <c r="K28" i="25"/>
  <c r="J31" i="25"/>
  <c r="J32" i="25"/>
  <c r="J33" i="25"/>
  <c r="J34" i="25"/>
  <c r="J35" i="25"/>
  <c r="J36" i="25"/>
  <c r="J37" i="25"/>
  <c r="J38" i="25"/>
  <c r="J39" i="25"/>
  <c r="J40" i="25"/>
  <c r="J41" i="25"/>
  <c r="J43" i="25"/>
  <c r="K44" i="25"/>
  <c r="J47" i="25"/>
  <c r="J48" i="25"/>
  <c r="K49" i="25"/>
  <c r="J52" i="25"/>
  <c r="J53" i="25"/>
  <c r="J54" i="25"/>
  <c r="J55" i="25"/>
  <c r="J56" i="25"/>
  <c r="J57" i="25"/>
  <c r="J58" i="25"/>
  <c r="J59" i="25"/>
  <c r="J60" i="25"/>
  <c r="J61" i="25"/>
  <c r="K62" i="25"/>
  <c r="K74" i="25"/>
  <c r="F75" i="25"/>
  <c r="K75" i="25"/>
  <c r="I47" i="25"/>
  <c r="H47" i="25"/>
  <c r="H25" i="8"/>
  <c r="G25" i="8"/>
  <c r="E25" i="8"/>
  <c r="E12" i="8"/>
  <c r="H39" i="25"/>
  <c r="I39" i="25"/>
  <c r="I43" i="25"/>
  <c r="H43" i="25"/>
  <c r="I61" i="25"/>
  <c r="H61" i="25"/>
  <c r="I60" i="25"/>
  <c r="H60" i="25"/>
  <c r="I59" i="25"/>
  <c r="H59" i="25"/>
  <c r="I58" i="25"/>
  <c r="H58" i="25"/>
  <c r="I57" i="25"/>
  <c r="H57" i="25"/>
  <c r="I56" i="25"/>
  <c r="H56" i="25"/>
  <c r="I55" i="25"/>
  <c r="H55" i="25"/>
  <c r="I54" i="25"/>
  <c r="H54" i="25"/>
  <c r="I53" i="25"/>
  <c r="H53" i="25"/>
  <c r="I52" i="25"/>
  <c r="H52" i="25"/>
  <c r="I48" i="25"/>
  <c r="H48" i="25"/>
  <c r="I41" i="25"/>
  <c r="H41" i="25"/>
  <c r="I40" i="25"/>
  <c r="H40" i="25"/>
  <c r="I38" i="25"/>
  <c r="H38" i="25"/>
  <c r="I37" i="25"/>
  <c r="H37" i="25"/>
  <c r="I36" i="25"/>
  <c r="H36" i="25"/>
  <c r="I35" i="25"/>
  <c r="H35" i="25"/>
  <c r="I34" i="25"/>
  <c r="H34" i="25"/>
  <c r="I33" i="25"/>
  <c r="H33" i="25"/>
  <c r="I32" i="25"/>
  <c r="H32" i="25"/>
  <c r="I31" i="25"/>
  <c r="H31" i="25"/>
  <c r="I27" i="25"/>
  <c r="H27" i="25"/>
  <c r="I26" i="25"/>
  <c r="H26" i="25"/>
  <c r="I25" i="25"/>
  <c r="H25" i="25"/>
  <c r="I24" i="25"/>
  <c r="H24" i="25"/>
  <c r="I23" i="25"/>
  <c r="H23" i="25"/>
  <c r="I22" i="25"/>
  <c r="H22" i="25"/>
  <c r="I18" i="25"/>
  <c r="H18" i="25"/>
  <c r="F13" i="25"/>
  <c r="F12" i="25"/>
  <c r="D8" i="25"/>
  <c r="E5" i="25"/>
  <c r="H24" i="8"/>
  <c r="H49" i="24"/>
  <c r="I49" i="24"/>
  <c r="G24" i="8"/>
  <c r="F24" i="8"/>
  <c r="E24" i="8"/>
  <c r="F23" i="8"/>
  <c r="H62" i="24"/>
  <c r="I62" i="24"/>
  <c r="H63" i="24"/>
  <c r="I63" i="24"/>
  <c r="H64" i="24"/>
  <c r="I64" i="24"/>
  <c r="H65" i="24"/>
  <c r="I65" i="24"/>
  <c r="H43" i="24"/>
  <c r="I43" i="24"/>
  <c r="H44" i="24"/>
  <c r="I44" i="24"/>
  <c r="J81" i="24"/>
  <c r="K84" i="24"/>
  <c r="F84" i="24"/>
  <c r="B81" i="24"/>
  <c r="I81" i="24"/>
  <c r="H81" i="24"/>
  <c r="I79" i="24"/>
  <c r="H79" i="24"/>
  <c r="I78" i="24"/>
  <c r="H78" i="24"/>
  <c r="I77" i="24"/>
  <c r="H77" i="24"/>
  <c r="I76" i="24"/>
  <c r="H76" i="24"/>
  <c r="I75" i="24"/>
  <c r="H75" i="24"/>
  <c r="I72" i="24"/>
  <c r="H72" i="24"/>
  <c r="I71" i="24"/>
  <c r="H71" i="24"/>
  <c r="I70" i="24"/>
  <c r="H70" i="24"/>
  <c r="I69" i="24"/>
  <c r="H69" i="24"/>
  <c r="I68" i="24"/>
  <c r="H68" i="24"/>
  <c r="I67" i="24"/>
  <c r="H67" i="24"/>
  <c r="I66" i="24"/>
  <c r="H66" i="24"/>
  <c r="I61" i="24"/>
  <c r="H61" i="24"/>
  <c r="I60" i="24"/>
  <c r="H60" i="24"/>
  <c r="I59" i="24"/>
  <c r="H59" i="24"/>
  <c r="I58" i="24"/>
  <c r="H58" i="24"/>
  <c r="I57" i="24"/>
  <c r="H57" i="24"/>
  <c r="I56" i="24"/>
  <c r="H56" i="24"/>
  <c r="I55" i="24"/>
  <c r="H55" i="24"/>
  <c r="I54" i="24"/>
  <c r="H54" i="24"/>
  <c r="I53" i="24"/>
  <c r="H53" i="24"/>
  <c r="I48" i="24"/>
  <c r="H48" i="24"/>
  <c r="I42" i="24"/>
  <c r="H42" i="24"/>
  <c r="I41" i="24"/>
  <c r="H41" i="24"/>
  <c r="I40" i="24"/>
  <c r="H40" i="24"/>
  <c r="I39" i="24"/>
  <c r="H39" i="24"/>
  <c r="I38" i="24"/>
  <c r="H38" i="24"/>
  <c r="I37" i="24"/>
  <c r="H37" i="24"/>
  <c r="I36" i="24"/>
  <c r="H36" i="24"/>
  <c r="I35" i="24"/>
  <c r="H35" i="24"/>
  <c r="I34" i="24"/>
  <c r="H34" i="24"/>
  <c r="I33" i="24"/>
  <c r="H33" i="24"/>
  <c r="I32" i="24"/>
  <c r="H32" i="24"/>
  <c r="I28" i="24"/>
  <c r="H28" i="24"/>
  <c r="I27" i="24"/>
  <c r="H27" i="24"/>
  <c r="I26" i="24"/>
  <c r="H26" i="24"/>
  <c r="I25" i="24"/>
  <c r="H25" i="24"/>
  <c r="I24" i="24"/>
  <c r="H24" i="24"/>
  <c r="I23" i="24"/>
  <c r="H23" i="24"/>
  <c r="I22" i="24"/>
  <c r="H22" i="24"/>
  <c r="I18" i="24"/>
  <c r="H18" i="24"/>
  <c r="F13" i="24"/>
  <c r="F12" i="24"/>
  <c r="D8" i="24"/>
  <c r="E5" i="24"/>
  <c r="G23" i="8"/>
  <c r="E23" i="8"/>
  <c r="J75" i="23"/>
  <c r="K78" i="23"/>
  <c r="F78" i="23"/>
  <c r="B75" i="23"/>
  <c r="I75" i="23"/>
  <c r="H75" i="23"/>
  <c r="I73" i="23"/>
  <c r="H73" i="23"/>
  <c r="I72" i="23"/>
  <c r="H72" i="23"/>
  <c r="I71" i="23"/>
  <c r="H71" i="23"/>
  <c r="I70" i="23"/>
  <c r="H70" i="23"/>
  <c r="I69" i="23"/>
  <c r="H69" i="23"/>
  <c r="I66" i="23"/>
  <c r="H66" i="23"/>
  <c r="I65" i="23"/>
  <c r="H65" i="23"/>
  <c r="I64" i="23"/>
  <c r="H64" i="23"/>
  <c r="I63" i="23"/>
  <c r="H63" i="23"/>
  <c r="I62" i="23"/>
  <c r="H62" i="23"/>
  <c r="I61" i="23"/>
  <c r="H61" i="23"/>
  <c r="I60" i="23"/>
  <c r="H60" i="23"/>
  <c r="I59" i="23"/>
  <c r="H59" i="23"/>
  <c r="I58" i="23"/>
  <c r="H58" i="23"/>
  <c r="I57" i="23"/>
  <c r="H57" i="23"/>
  <c r="I56" i="23"/>
  <c r="H56" i="23"/>
  <c r="I55" i="23"/>
  <c r="H55" i="23"/>
  <c r="I54" i="23"/>
  <c r="H54" i="23"/>
  <c r="I50" i="23"/>
  <c r="H50" i="23"/>
  <c r="I46" i="23"/>
  <c r="H46" i="23"/>
  <c r="I43" i="23"/>
  <c r="H43" i="23"/>
  <c r="I41" i="23"/>
  <c r="H41" i="23"/>
  <c r="I40" i="23"/>
  <c r="H40" i="23"/>
  <c r="I39" i="23"/>
  <c r="H39" i="23"/>
  <c r="I38" i="23"/>
  <c r="H38" i="23"/>
  <c r="I37" i="23"/>
  <c r="H37" i="23"/>
  <c r="I36" i="23"/>
  <c r="H36" i="23"/>
  <c r="I35" i="23"/>
  <c r="H35" i="23"/>
  <c r="I34" i="23"/>
  <c r="H34" i="23"/>
  <c r="I33" i="23"/>
  <c r="H33" i="23"/>
  <c r="I29" i="23"/>
  <c r="H29" i="23"/>
  <c r="I28" i="23"/>
  <c r="H28" i="23"/>
  <c r="I27" i="23"/>
  <c r="H27" i="23"/>
  <c r="I26" i="23"/>
  <c r="H26" i="23"/>
  <c r="I25" i="23"/>
  <c r="H25" i="23"/>
  <c r="I24" i="23"/>
  <c r="H24" i="23"/>
  <c r="I23" i="23"/>
  <c r="H23" i="23"/>
  <c r="I22" i="23"/>
  <c r="H22" i="23"/>
  <c r="I18" i="23"/>
  <c r="H18" i="23"/>
  <c r="F13" i="23"/>
  <c r="F12" i="23"/>
  <c r="D8" i="23"/>
  <c r="E5" i="23"/>
  <c r="I69" i="22"/>
  <c r="H69" i="22"/>
  <c r="F22" i="8"/>
  <c r="H49" i="22"/>
  <c r="I49" i="22"/>
  <c r="H50" i="22"/>
  <c r="I50" i="22"/>
  <c r="G22" i="8"/>
  <c r="E22" i="8"/>
  <c r="H64" i="22"/>
  <c r="I64" i="22"/>
  <c r="H62" i="22"/>
  <c r="I62" i="22"/>
  <c r="H63" i="22"/>
  <c r="I63" i="22"/>
  <c r="J71" i="22"/>
  <c r="K74" i="22"/>
  <c r="F74" i="22"/>
  <c r="B71" i="22"/>
  <c r="I71" i="22"/>
  <c r="H71" i="22"/>
  <c r="I66" i="22"/>
  <c r="H66" i="22"/>
  <c r="I65" i="22"/>
  <c r="H65" i="22"/>
  <c r="I61" i="22"/>
  <c r="H61" i="22"/>
  <c r="I60" i="22"/>
  <c r="H60" i="22"/>
  <c r="I59" i="22"/>
  <c r="H59" i="22"/>
  <c r="I58" i="22"/>
  <c r="H58" i="22"/>
  <c r="I57" i="22"/>
  <c r="H57" i="22"/>
  <c r="I56" i="22"/>
  <c r="H56" i="22"/>
  <c r="I55" i="22"/>
  <c r="H55" i="22"/>
  <c r="I54" i="22"/>
  <c r="H54" i="22"/>
  <c r="I45" i="22"/>
  <c r="H45" i="22"/>
  <c r="I43" i="22"/>
  <c r="H43" i="22"/>
  <c r="I42" i="22"/>
  <c r="H42" i="22"/>
  <c r="I41" i="22"/>
  <c r="H41" i="22"/>
  <c r="I40" i="22"/>
  <c r="H40" i="22"/>
  <c r="I39" i="22"/>
  <c r="H39" i="22"/>
  <c r="I38" i="22"/>
  <c r="H38" i="22"/>
  <c r="I37" i="22"/>
  <c r="H37" i="22"/>
  <c r="I36" i="22"/>
  <c r="H36" i="22"/>
  <c r="I35" i="22"/>
  <c r="H35" i="22"/>
  <c r="I34" i="22"/>
  <c r="H34" i="22"/>
  <c r="I33" i="22"/>
  <c r="H33" i="22"/>
  <c r="I32" i="22"/>
  <c r="H32" i="22"/>
  <c r="I31" i="22"/>
  <c r="H31" i="22"/>
  <c r="I27" i="22"/>
  <c r="H27" i="22"/>
  <c r="I26" i="22"/>
  <c r="H26" i="22"/>
  <c r="I25" i="22"/>
  <c r="H25" i="22"/>
  <c r="I24" i="22"/>
  <c r="H24" i="22"/>
  <c r="I23" i="22"/>
  <c r="H23" i="22"/>
  <c r="I22" i="22"/>
  <c r="H22" i="22"/>
  <c r="I18" i="22"/>
  <c r="H18" i="22"/>
  <c r="F13" i="22"/>
  <c r="F12" i="22"/>
  <c r="E5" i="22"/>
  <c r="G16" i="8"/>
  <c r="H21" i="8"/>
  <c r="G21" i="8"/>
  <c r="F21" i="8"/>
  <c r="E21" i="8"/>
  <c r="H64" i="21"/>
  <c r="I64" i="21"/>
  <c r="J75" i="21"/>
  <c r="K78" i="21"/>
  <c r="F78" i="21"/>
  <c r="B75" i="21"/>
  <c r="I75" i="21"/>
  <c r="H75" i="21"/>
  <c r="I73" i="21"/>
  <c r="H73" i="21"/>
  <c r="I72" i="21"/>
  <c r="H72" i="21"/>
  <c r="I71" i="21"/>
  <c r="H71" i="21"/>
  <c r="I70" i="21"/>
  <c r="H70" i="21"/>
  <c r="I69" i="21"/>
  <c r="H69" i="21"/>
  <c r="I66" i="21"/>
  <c r="H66" i="21"/>
  <c r="I65" i="21"/>
  <c r="H65" i="21"/>
  <c r="I63" i="21"/>
  <c r="H63" i="21"/>
  <c r="I62" i="21"/>
  <c r="H62" i="21"/>
  <c r="I61" i="21"/>
  <c r="H61" i="21"/>
  <c r="I60" i="21"/>
  <c r="H60" i="21"/>
  <c r="I59" i="21"/>
  <c r="H59" i="21"/>
  <c r="I58" i="21"/>
  <c r="H58" i="21"/>
  <c r="I57" i="21"/>
  <c r="H57" i="21"/>
  <c r="I56" i="21"/>
  <c r="H56" i="21"/>
  <c r="I55" i="21"/>
  <c r="H55" i="21"/>
  <c r="I51" i="21"/>
  <c r="H51" i="21"/>
  <c r="I50" i="21"/>
  <c r="H50" i="21"/>
  <c r="I46" i="21"/>
  <c r="H46" i="21"/>
  <c r="I45" i="21"/>
  <c r="H45" i="21"/>
  <c r="I44" i="21"/>
  <c r="H44" i="21"/>
  <c r="I43" i="21"/>
  <c r="H43" i="21"/>
  <c r="I42" i="21"/>
  <c r="H42" i="21"/>
  <c r="I41" i="21"/>
  <c r="H41" i="21"/>
  <c r="I40" i="21"/>
  <c r="H40" i="21"/>
  <c r="I39" i="21"/>
  <c r="H39" i="21"/>
  <c r="I38" i="21"/>
  <c r="H38" i="21"/>
  <c r="I37" i="21"/>
  <c r="H37" i="21"/>
  <c r="I36" i="21"/>
  <c r="H36" i="21"/>
  <c r="I35" i="21"/>
  <c r="H35" i="21"/>
  <c r="I34" i="21"/>
  <c r="H34" i="21"/>
  <c r="I33" i="21"/>
  <c r="H33" i="21"/>
  <c r="I32" i="21"/>
  <c r="H32" i="21"/>
  <c r="I28" i="21"/>
  <c r="H28" i="21"/>
  <c r="I27" i="21"/>
  <c r="H27" i="21"/>
  <c r="I26" i="21"/>
  <c r="H26" i="21"/>
  <c r="I25" i="21"/>
  <c r="H25" i="21"/>
  <c r="I24" i="21"/>
  <c r="H24" i="21"/>
  <c r="I23" i="21"/>
  <c r="H23" i="21"/>
  <c r="I22" i="21"/>
  <c r="H22" i="21"/>
  <c r="I18" i="21"/>
  <c r="H18" i="21"/>
  <c r="F13" i="21"/>
  <c r="F12" i="21"/>
  <c r="D8" i="21"/>
  <c r="E5" i="21"/>
  <c r="H20" i="8"/>
  <c r="G20" i="8"/>
  <c r="D12" i="20"/>
  <c r="M18" i="20"/>
  <c r="J53" i="20"/>
  <c r="J54" i="20"/>
  <c r="J55" i="20"/>
  <c r="J56" i="20"/>
  <c r="J57" i="20"/>
  <c r="J58" i="20"/>
  <c r="J59" i="20"/>
  <c r="J60" i="20"/>
  <c r="J61" i="20"/>
  <c r="J62" i="20"/>
  <c r="J63" i="20"/>
  <c r="J64" i="20"/>
  <c r="J65" i="20"/>
  <c r="J66" i="20"/>
  <c r="J67" i="20"/>
  <c r="K68" i="20"/>
  <c r="E20" i="8"/>
  <c r="J22" i="20"/>
  <c r="J23" i="20"/>
  <c r="J24" i="20"/>
  <c r="J25" i="20"/>
  <c r="J26" i="20"/>
  <c r="J27" i="20"/>
  <c r="J28" i="20"/>
  <c r="J29" i="20"/>
  <c r="K30" i="20"/>
  <c r="J33" i="20"/>
  <c r="J34" i="20"/>
  <c r="J35" i="20"/>
  <c r="J36" i="20"/>
  <c r="J37" i="20"/>
  <c r="J38" i="20"/>
  <c r="J39" i="20"/>
  <c r="J40" i="20"/>
  <c r="J41" i="20"/>
  <c r="J42" i="20"/>
  <c r="J44" i="20"/>
  <c r="J45" i="20"/>
  <c r="J43" i="20"/>
  <c r="K46" i="20"/>
  <c r="J49" i="20"/>
  <c r="K50" i="20"/>
  <c r="J70" i="20"/>
  <c r="J71" i="20"/>
  <c r="J72" i="20"/>
  <c r="J73" i="20"/>
  <c r="K74" i="20"/>
  <c r="K77" i="20"/>
  <c r="J75" i="20"/>
  <c r="K78" i="20"/>
  <c r="F78" i="20"/>
  <c r="B75" i="20"/>
  <c r="I75" i="20"/>
  <c r="H75" i="20"/>
  <c r="I73" i="20"/>
  <c r="H73" i="20"/>
  <c r="I72" i="20"/>
  <c r="H72" i="20"/>
  <c r="I71" i="20"/>
  <c r="H71" i="20"/>
  <c r="I70" i="20"/>
  <c r="H70" i="20"/>
  <c r="I67" i="20"/>
  <c r="H67" i="20"/>
  <c r="I66" i="20"/>
  <c r="H66" i="20"/>
  <c r="I65" i="20"/>
  <c r="H65" i="20"/>
  <c r="I64" i="20"/>
  <c r="H64" i="20"/>
  <c r="I63" i="20"/>
  <c r="H63" i="20"/>
  <c r="I62" i="20"/>
  <c r="H62" i="20"/>
  <c r="I61" i="20"/>
  <c r="H61" i="20"/>
  <c r="I60" i="20"/>
  <c r="H60" i="20"/>
  <c r="I59" i="20"/>
  <c r="H59" i="20"/>
  <c r="I58" i="20"/>
  <c r="H58" i="20"/>
  <c r="I57" i="20"/>
  <c r="H57" i="20"/>
  <c r="I55" i="20"/>
  <c r="H55" i="20"/>
  <c r="I56" i="20"/>
  <c r="H56" i="20"/>
  <c r="I54" i="20"/>
  <c r="H54" i="20"/>
  <c r="I53" i="20"/>
  <c r="H53" i="20"/>
  <c r="I49" i="20"/>
  <c r="H49" i="20"/>
  <c r="I43" i="20"/>
  <c r="H43" i="20"/>
  <c r="I45" i="20"/>
  <c r="H45" i="20"/>
  <c r="I44" i="20"/>
  <c r="H44" i="20"/>
  <c r="I42" i="20"/>
  <c r="H42" i="20"/>
  <c r="I41" i="20"/>
  <c r="H41" i="20"/>
  <c r="I40" i="20"/>
  <c r="H40" i="20"/>
  <c r="I39" i="20"/>
  <c r="H39" i="20"/>
  <c r="I38" i="20"/>
  <c r="H38" i="20"/>
  <c r="I37" i="20"/>
  <c r="H37" i="20"/>
  <c r="I36" i="20"/>
  <c r="H36" i="20"/>
  <c r="I35" i="20"/>
  <c r="H35" i="20"/>
  <c r="I34" i="20"/>
  <c r="H34" i="20"/>
  <c r="I33" i="20"/>
  <c r="H33" i="20"/>
  <c r="I29" i="20"/>
  <c r="H29" i="20"/>
  <c r="I28" i="20"/>
  <c r="H28" i="20"/>
  <c r="I27" i="20"/>
  <c r="H27" i="20"/>
  <c r="I26" i="20"/>
  <c r="H26" i="20"/>
  <c r="I25" i="20"/>
  <c r="H25" i="20"/>
  <c r="I24" i="20"/>
  <c r="H24" i="20"/>
  <c r="I23" i="20"/>
  <c r="H23" i="20"/>
  <c r="I22" i="20"/>
  <c r="H22" i="20"/>
  <c r="I18" i="20"/>
  <c r="H18" i="20"/>
  <c r="H19" i="8"/>
  <c r="G19" i="8"/>
  <c r="F19" i="8"/>
  <c r="J55" i="19"/>
  <c r="J54" i="19"/>
  <c r="J48" i="19"/>
  <c r="H48" i="19"/>
  <c r="I48" i="19"/>
  <c r="H49" i="19"/>
  <c r="I49" i="19"/>
  <c r="J49" i="19"/>
  <c r="J50" i="19"/>
  <c r="H50" i="19"/>
  <c r="I50" i="19"/>
  <c r="K56" i="19"/>
  <c r="I55" i="19"/>
  <c r="H55" i="19"/>
  <c r="I54" i="19"/>
  <c r="H54" i="19"/>
  <c r="J62" i="19"/>
  <c r="H62" i="19"/>
  <c r="I62" i="19"/>
  <c r="J22" i="19"/>
  <c r="J23" i="19"/>
  <c r="J24" i="19"/>
  <c r="J25" i="19"/>
  <c r="J26" i="19"/>
  <c r="J27" i="19"/>
  <c r="K28" i="19"/>
  <c r="J31" i="19"/>
  <c r="J32" i="19"/>
  <c r="J33" i="19"/>
  <c r="J34" i="19"/>
  <c r="J35" i="19"/>
  <c r="J36" i="19"/>
  <c r="J37" i="19"/>
  <c r="J38" i="19"/>
  <c r="J39" i="19"/>
  <c r="J40" i="19"/>
  <c r="J41" i="19"/>
  <c r="J42" i="19"/>
  <c r="J43" i="19"/>
  <c r="J44" i="19"/>
  <c r="J45" i="19"/>
  <c r="J46" i="19"/>
  <c r="J47" i="19"/>
  <c r="K51" i="19"/>
  <c r="J59" i="19"/>
  <c r="J60" i="19"/>
  <c r="J61" i="19"/>
  <c r="J63" i="19"/>
  <c r="J64" i="19"/>
  <c r="J65" i="19"/>
  <c r="K66" i="19"/>
  <c r="K78" i="19"/>
  <c r="H61" i="19"/>
  <c r="I61" i="19"/>
  <c r="E19" i="8"/>
  <c r="H46" i="19"/>
  <c r="I46" i="19"/>
  <c r="H47" i="19"/>
  <c r="I47" i="19"/>
  <c r="H33" i="19"/>
  <c r="I33" i="19"/>
  <c r="H34" i="19"/>
  <c r="I34" i="19"/>
  <c r="H35" i="19"/>
  <c r="I35" i="19"/>
  <c r="H36" i="19"/>
  <c r="I36" i="19"/>
  <c r="H37" i="19"/>
  <c r="I37" i="19"/>
  <c r="H38" i="19"/>
  <c r="I38" i="19"/>
  <c r="H22" i="19"/>
  <c r="I22" i="19"/>
  <c r="H23" i="19"/>
  <c r="I23" i="19"/>
  <c r="H24" i="19"/>
  <c r="I24" i="19"/>
  <c r="H25" i="19"/>
  <c r="I25" i="19"/>
  <c r="H26" i="19"/>
  <c r="I26" i="19"/>
  <c r="H27" i="19"/>
  <c r="I27" i="19"/>
  <c r="J76" i="19"/>
  <c r="K79" i="19"/>
  <c r="F79" i="19"/>
  <c r="B76" i="19"/>
  <c r="I76" i="19"/>
  <c r="H76" i="19"/>
  <c r="I73" i="19"/>
  <c r="H73" i="19"/>
  <c r="I72" i="19"/>
  <c r="H72" i="19"/>
  <c r="I71" i="19"/>
  <c r="H71" i="19"/>
  <c r="I70" i="19"/>
  <c r="H70" i="19"/>
  <c r="I69" i="19"/>
  <c r="H69" i="19"/>
  <c r="I68" i="19"/>
  <c r="H68" i="19"/>
  <c r="I65" i="19"/>
  <c r="H65" i="19"/>
  <c r="I64" i="19"/>
  <c r="H64" i="19"/>
  <c r="I63" i="19"/>
  <c r="H63" i="19"/>
  <c r="I60" i="19"/>
  <c r="H60" i="19"/>
  <c r="I59" i="19"/>
  <c r="H59" i="19"/>
  <c r="I45" i="19"/>
  <c r="H45" i="19"/>
  <c r="I44" i="19"/>
  <c r="H44" i="19"/>
  <c r="I43" i="19"/>
  <c r="H43" i="19"/>
  <c r="I42" i="19"/>
  <c r="H42" i="19"/>
  <c r="I41" i="19"/>
  <c r="H41" i="19"/>
  <c r="I40" i="19"/>
  <c r="H40" i="19"/>
  <c r="I39" i="19"/>
  <c r="H39" i="19"/>
  <c r="I32" i="19"/>
  <c r="H32" i="19"/>
  <c r="I31" i="19"/>
  <c r="H31" i="19"/>
  <c r="I18" i="19"/>
  <c r="H18" i="19"/>
  <c r="F13" i="19"/>
  <c r="F12" i="19"/>
  <c r="D8" i="19"/>
  <c r="E5" i="19"/>
  <c r="H18" i="8"/>
  <c r="G18" i="8"/>
  <c r="E18" i="8"/>
  <c r="H65" i="18"/>
  <c r="I65" i="18"/>
  <c r="J22" i="10"/>
  <c r="H22" i="10"/>
  <c r="J22" i="9"/>
  <c r="H22" i="9"/>
  <c r="H59" i="18"/>
  <c r="I59" i="18"/>
  <c r="H60" i="18"/>
  <c r="I60" i="18"/>
  <c r="H61" i="18"/>
  <c r="I61" i="18"/>
  <c r="H62" i="18"/>
  <c r="I62" i="18"/>
  <c r="H63" i="18"/>
  <c r="I63" i="18"/>
  <c r="H64" i="18"/>
  <c r="I64" i="18"/>
  <c r="H66" i="18"/>
  <c r="I66" i="18"/>
  <c r="H67" i="18"/>
  <c r="I67" i="18"/>
  <c r="H42" i="18"/>
  <c r="I42" i="18"/>
  <c r="H17" i="8"/>
  <c r="G17" i="8"/>
  <c r="F17" i="8"/>
  <c r="J78" i="18"/>
  <c r="K81" i="18"/>
  <c r="F81" i="18"/>
  <c r="B78" i="18"/>
  <c r="I78" i="18"/>
  <c r="H78" i="18"/>
  <c r="I76" i="18"/>
  <c r="H76" i="18"/>
  <c r="I75" i="18"/>
  <c r="H75" i="18"/>
  <c r="I74" i="18"/>
  <c r="H74" i="18"/>
  <c r="I73" i="18"/>
  <c r="H73" i="18"/>
  <c r="I72" i="18"/>
  <c r="H72" i="18"/>
  <c r="I71" i="18"/>
  <c r="H71" i="18"/>
  <c r="I70" i="18"/>
  <c r="H70" i="18"/>
  <c r="I58" i="18"/>
  <c r="H58" i="18"/>
  <c r="I57" i="18"/>
  <c r="H57" i="18"/>
  <c r="I56" i="18"/>
  <c r="H56" i="18"/>
  <c r="I55" i="18"/>
  <c r="H55" i="18"/>
  <c r="I54" i="18"/>
  <c r="H54" i="18"/>
  <c r="I53" i="18"/>
  <c r="H53" i="18"/>
  <c r="I52" i="18"/>
  <c r="H52" i="18"/>
  <c r="I51" i="18"/>
  <c r="H51" i="18"/>
  <c r="I50" i="18"/>
  <c r="H50" i="18"/>
  <c r="I46" i="18"/>
  <c r="H46" i="18"/>
  <c r="I40" i="18"/>
  <c r="H40" i="18"/>
  <c r="I39" i="18"/>
  <c r="H39" i="18"/>
  <c r="I38" i="18"/>
  <c r="H38" i="18"/>
  <c r="I37" i="18"/>
  <c r="H37" i="18"/>
  <c r="I36" i="18"/>
  <c r="H36" i="18"/>
  <c r="I35" i="18"/>
  <c r="H35" i="18"/>
  <c r="I34" i="18"/>
  <c r="H34" i="18"/>
  <c r="I33" i="18"/>
  <c r="H33" i="18"/>
  <c r="I32" i="18"/>
  <c r="H32" i="18"/>
  <c r="I28" i="18"/>
  <c r="H28" i="18"/>
  <c r="I27" i="18"/>
  <c r="H27" i="18"/>
  <c r="I26" i="18"/>
  <c r="H26" i="18"/>
  <c r="I25" i="18"/>
  <c r="H25" i="18"/>
  <c r="I24" i="18"/>
  <c r="H24" i="18"/>
  <c r="I23" i="18"/>
  <c r="H23" i="18"/>
  <c r="I22" i="18"/>
  <c r="H22" i="18"/>
  <c r="I18" i="18"/>
  <c r="H18" i="18"/>
  <c r="F13" i="18"/>
  <c r="F12" i="18"/>
  <c r="D8" i="18"/>
  <c r="E5" i="18"/>
  <c r="J53" i="17"/>
  <c r="K54" i="17"/>
  <c r="J33" i="17"/>
  <c r="J34" i="17"/>
  <c r="J35" i="17"/>
  <c r="J36" i="17"/>
  <c r="J37" i="17"/>
  <c r="J38" i="17"/>
  <c r="J39" i="17"/>
  <c r="J40" i="17"/>
  <c r="J41" i="17"/>
  <c r="J42" i="17"/>
  <c r="J43" i="17"/>
  <c r="J44" i="17"/>
  <c r="J45" i="17"/>
  <c r="J46" i="17"/>
  <c r="J47" i="17"/>
  <c r="J49" i="17"/>
  <c r="K50" i="17"/>
  <c r="J57" i="17"/>
  <c r="J58" i="17"/>
  <c r="J59" i="17"/>
  <c r="J60" i="17"/>
  <c r="J61" i="17"/>
  <c r="J62" i="17"/>
  <c r="J64" i="17"/>
  <c r="J66" i="17"/>
  <c r="J67" i="17"/>
  <c r="J68" i="17"/>
  <c r="J70" i="17"/>
  <c r="J71" i="17"/>
  <c r="J72" i="17"/>
  <c r="J74" i="17"/>
  <c r="K75" i="17"/>
  <c r="I45" i="17"/>
  <c r="H45" i="17"/>
  <c r="I44" i="17"/>
  <c r="H44" i="17"/>
  <c r="H53" i="17"/>
  <c r="I53" i="17"/>
  <c r="J22" i="17"/>
  <c r="J23" i="17"/>
  <c r="J24" i="17"/>
  <c r="J25" i="17"/>
  <c r="J26" i="17"/>
  <c r="J27" i="17"/>
  <c r="J28" i="17"/>
  <c r="J29" i="17"/>
  <c r="K30" i="17"/>
  <c r="K78" i="17"/>
  <c r="H74" i="17"/>
  <c r="I74" i="17"/>
  <c r="I64" i="17"/>
  <c r="H64" i="17"/>
  <c r="J76" i="17"/>
  <c r="F79" i="17"/>
  <c r="B76" i="17"/>
  <c r="I76" i="17"/>
  <c r="H76" i="17"/>
  <c r="I70" i="17"/>
  <c r="H70" i="17"/>
  <c r="I68" i="17"/>
  <c r="H68" i="17"/>
  <c r="I67" i="17"/>
  <c r="H67" i="17"/>
  <c r="I66" i="17"/>
  <c r="H66" i="17"/>
  <c r="I62" i="17"/>
  <c r="H62" i="17"/>
  <c r="I72" i="17"/>
  <c r="H72" i="17"/>
  <c r="I71" i="17"/>
  <c r="H71" i="17"/>
  <c r="I61" i="17"/>
  <c r="H61" i="17"/>
  <c r="I60" i="17"/>
  <c r="H60" i="17"/>
  <c r="I59" i="17"/>
  <c r="H59" i="17"/>
  <c r="I58" i="17"/>
  <c r="H58" i="17"/>
  <c r="I57" i="17"/>
  <c r="H57" i="17"/>
  <c r="I49" i="17"/>
  <c r="H49" i="17"/>
  <c r="I47" i="17"/>
  <c r="H47" i="17"/>
  <c r="I46" i="17"/>
  <c r="H46" i="17"/>
  <c r="I43" i="17"/>
  <c r="H43" i="17"/>
  <c r="I42" i="17"/>
  <c r="H42" i="17"/>
  <c r="I41" i="17"/>
  <c r="H41" i="17"/>
  <c r="I40" i="17"/>
  <c r="H40" i="17"/>
  <c r="I39" i="17"/>
  <c r="H39" i="17"/>
  <c r="I38" i="17"/>
  <c r="H38" i="17"/>
  <c r="I37" i="17"/>
  <c r="H37" i="17"/>
  <c r="I36" i="17"/>
  <c r="H36" i="17"/>
  <c r="I35" i="17"/>
  <c r="H35" i="17"/>
  <c r="I34" i="17"/>
  <c r="H34" i="17"/>
  <c r="I33" i="17"/>
  <c r="H33" i="17"/>
  <c r="I29" i="17"/>
  <c r="H29" i="17"/>
  <c r="I28" i="17"/>
  <c r="H28" i="17"/>
  <c r="I27" i="17"/>
  <c r="H27" i="17"/>
  <c r="I26" i="17"/>
  <c r="H26" i="17"/>
  <c r="I25" i="17"/>
  <c r="H25" i="17"/>
  <c r="I24" i="17"/>
  <c r="H24" i="17"/>
  <c r="I23" i="17"/>
  <c r="H23" i="17"/>
  <c r="I22" i="17"/>
  <c r="H22" i="17"/>
  <c r="I18" i="17"/>
  <c r="H18" i="17"/>
  <c r="F13" i="17"/>
  <c r="F12" i="17"/>
  <c r="D8" i="17"/>
  <c r="E5" i="17"/>
  <c r="K51" i="13"/>
  <c r="K70" i="13"/>
  <c r="J68" i="14"/>
  <c r="J69" i="14"/>
  <c r="J70" i="14"/>
  <c r="J71" i="14"/>
  <c r="J72" i="14"/>
  <c r="J73" i="14"/>
  <c r="K74" i="14"/>
  <c r="H72" i="14"/>
  <c r="H73" i="14"/>
  <c r="J68" i="11"/>
  <c r="J69" i="11"/>
  <c r="J70" i="11"/>
  <c r="J71" i="11"/>
  <c r="J72" i="11"/>
  <c r="K73" i="11"/>
  <c r="J53" i="11"/>
  <c r="J54" i="11"/>
  <c r="J55" i="11"/>
  <c r="J56" i="11"/>
  <c r="J57" i="11"/>
  <c r="J58" i="11"/>
  <c r="J59" i="11"/>
  <c r="J60" i="11"/>
  <c r="J61" i="11"/>
  <c r="J62" i="11"/>
  <c r="J63" i="11"/>
  <c r="J64" i="11"/>
  <c r="J65" i="11"/>
  <c r="K66" i="11"/>
  <c r="H50" i="13"/>
  <c r="I50" i="13"/>
  <c r="F16" i="8"/>
  <c r="H16" i="8"/>
  <c r="H69" i="13"/>
  <c r="I69" i="13"/>
  <c r="H68" i="13"/>
  <c r="I68" i="13"/>
  <c r="G14" i="8"/>
  <c r="F15" i="8"/>
  <c r="E16" i="8"/>
  <c r="H43" i="13"/>
  <c r="I32" i="13"/>
  <c r="I33" i="13"/>
  <c r="I34" i="13"/>
  <c r="I35" i="13"/>
  <c r="I36" i="13"/>
  <c r="I37" i="13"/>
  <c r="I38" i="13"/>
  <c r="I39" i="13"/>
  <c r="I40" i="13"/>
  <c r="I41" i="13"/>
  <c r="I42" i="13"/>
  <c r="I43" i="13"/>
  <c r="H32" i="13"/>
  <c r="H33" i="13"/>
  <c r="H34" i="13"/>
  <c r="H35" i="13"/>
  <c r="H36" i="13"/>
  <c r="G15" i="8"/>
  <c r="E15" i="8"/>
  <c r="I58" i="14"/>
  <c r="I59" i="14"/>
  <c r="I60" i="14"/>
  <c r="I57" i="14"/>
  <c r="H15" i="8"/>
  <c r="H22" i="13"/>
  <c r="I22" i="13"/>
  <c r="H23" i="13"/>
  <c r="I23" i="13"/>
  <c r="H24" i="13"/>
  <c r="I24" i="13"/>
  <c r="H25" i="13"/>
  <c r="I25" i="13"/>
  <c r="H26" i="13"/>
  <c r="I26" i="13"/>
  <c r="H27" i="13"/>
  <c r="I27" i="13"/>
  <c r="K28" i="13"/>
  <c r="I73" i="14"/>
  <c r="I72" i="14"/>
  <c r="I71" i="14"/>
  <c r="H71" i="14"/>
  <c r="I70" i="14"/>
  <c r="H70" i="14"/>
  <c r="I69" i="14"/>
  <c r="H69" i="14"/>
  <c r="I68" i="14"/>
  <c r="H68" i="14"/>
  <c r="I67" i="14"/>
  <c r="H35" i="14"/>
  <c r="I35" i="14"/>
  <c r="H57" i="14"/>
  <c r="H58" i="14"/>
  <c r="H59" i="14"/>
  <c r="H60" i="14"/>
  <c r="I22" i="9"/>
  <c r="H23" i="9"/>
  <c r="I23" i="9"/>
  <c r="J23" i="9"/>
  <c r="J24" i="9"/>
  <c r="H24" i="9"/>
  <c r="I24" i="9"/>
  <c r="J25" i="9"/>
  <c r="H25" i="9"/>
  <c r="I25" i="9"/>
  <c r="J26" i="9"/>
  <c r="H26" i="9"/>
  <c r="I26" i="9"/>
  <c r="H27" i="9"/>
  <c r="I27" i="9"/>
  <c r="J27" i="9"/>
  <c r="J28" i="9"/>
  <c r="H28" i="9"/>
  <c r="I28" i="9"/>
  <c r="I18" i="5"/>
  <c r="B78" i="10"/>
  <c r="J69" i="9"/>
  <c r="J70" i="9"/>
  <c r="J71" i="9"/>
  <c r="J72" i="9"/>
  <c r="J73" i="9"/>
  <c r="J74" i="9"/>
  <c r="J75" i="9"/>
  <c r="J76" i="9"/>
  <c r="J77" i="9"/>
  <c r="K78" i="9"/>
  <c r="I77" i="9"/>
  <c r="H77" i="9"/>
  <c r="J62" i="9"/>
  <c r="H62" i="9"/>
  <c r="I62" i="9"/>
  <c r="I45" i="14"/>
  <c r="H45" i="14"/>
  <c r="I44" i="14"/>
  <c r="H44" i="14"/>
  <c r="J22" i="14"/>
  <c r="J23" i="14"/>
  <c r="J24" i="14"/>
  <c r="J25" i="14"/>
  <c r="J26" i="14"/>
  <c r="J27" i="14"/>
  <c r="J28" i="14"/>
  <c r="K29" i="14"/>
  <c r="J51" i="14"/>
  <c r="J52" i="14"/>
  <c r="K53" i="14"/>
  <c r="K77" i="14"/>
  <c r="J75" i="14"/>
  <c r="K78" i="14"/>
  <c r="F78" i="14"/>
  <c r="B75" i="14"/>
  <c r="I75" i="14"/>
  <c r="H75" i="14"/>
  <c r="I66" i="14"/>
  <c r="I43" i="14"/>
  <c r="H43" i="14"/>
  <c r="I42" i="14"/>
  <c r="H42" i="14"/>
  <c r="I41" i="14"/>
  <c r="H41" i="14"/>
  <c r="I40" i="14"/>
  <c r="H40" i="14"/>
  <c r="I39" i="14"/>
  <c r="H39" i="14"/>
  <c r="I38" i="14"/>
  <c r="H38" i="14"/>
  <c r="I36" i="14"/>
  <c r="H36" i="14"/>
  <c r="I37" i="14"/>
  <c r="H37" i="14"/>
  <c r="I33" i="14"/>
  <c r="H33" i="14"/>
  <c r="I34" i="14"/>
  <c r="H34" i="14"/>
  <c r="I32" i="14"/>
  <c r="H32" i="14"/>
  <c r="I52" i="14"/>
  <c r="H52" i="14"/>
  <c r="I51" i="14"/>
  <c r="H51" i="14"/>
  <c r="I47" i="14"/>
  <c r="H47" i="14"/>
  <c r="I56" i="14"/>
  <c r="H56" i="14"/>
  <c r="I65" i="14"/>
  <c r="H65" i="14"/>
  <c r="I64" i="14"/>
  <c r="H64" i="14"/>
  <c r="I63" i="14"/>
  <c r="H63" i="14"/>
  <c r="I62" i="14"/>
  <c r="H62" i="14"/>
  <c r="I61" i="14"/>
  <c r="H61" i="14"/>
  <c r="I28" i="14"/>
  <c r="H28" i="14"/>
  <c r="I27" i="14"/>
  <c r="H27" i="14"/>
  <c r="I26" i="14"/>
  <c r="H26" i="14"/>
  <c r="I25" i="14"/>
  <c r="H25" i="14"/>
  <c r="I24" i="14"/>
  <c r="H24" i="14"/>
  <c r="I23" i="14"/>
  <c r="H23" i="14"/>
  <c r="I22" i="14"/>
  <c r="H22" i="14"/>
  <c r="H18" i="14"/>
  <c r="F13" i="14"/>
  <c r="F12" i="14"/>
  <c r="D8" i="14"/>
  <c r="E5" i="14"/>
  <c r="K46" i="13"/>
  <c r="J71" i="13"/>
  <c r="K74" i="13"/>
  <c r="F74" i="13"/>
  <c r="B71" i="13"/>
  <c r="I71" i="13"/>
  <c r="H71" i="13"/>
  <c r="I66" i="13"/>
  <c r="H66" i="13"/>
  <c r="I65" i="13"/>
  <c r="H65" i="13"/>
  <c r="I64" i="13"/>
  <c r="H64" i="13"/>
  <c r="I63" i="13"/>
  <c r="H63" i="13"/>
  <c r="I62" i="13"/>
  <c r="H62" i="13"/>
  <c r="I61" i="13"/>
  <c r="H61" i="13"/>
  <c r="I60" i="13"/>
  <c r="H60" i="13"/>
  <c r="I59" i="13"/>
  <c r="H59" i="13"/>
  <c r="I58" i="13"/>
  <c r="H58" i="13"/>
  <c r="I57" i="13"/>
  <c r="H57" i="13"/>
  <c r="I56" i="13"/>
  <c r="H56" i="13"/>
  <c r="I55" i="13"/>
  <c r="H55" i="13"/>
  <c r="I49" i="13"/>
  <c r="H49" i="13"/>
  <c r="I45" i="13"/>
  <c r="H45" i="13"/>
  <c r="H42" i="13"/>
  <c r="H41" i="13"/>
  <c r="H40" i="13"/>
  <c r="H39" i="13"/>
  <c r="H38" i="13"/>
  <c r="H37" i="13"/>
  <c r="I31" i="13"/>
  <c r="H31" i="13"/>
  <c r="H18" i="13"/>
  <c r="B15" i="13"/>
  <c r="F13" i="13"/>
  <c r="F12" i="13"/>
  <c r="D8" i="13"/>
  <c r="E5" i="13"/>
  <c r="H14" i="8"/>
  <c r="F14" i="8"/>
  <c r="J32" i="11"/>
  <c r="J33" i="11"/>
  <c r="J34" i="11"/>
  <c r="J35" i="11"/>
  <c r="J36" i="11"/>
  <c r="J37" i="11"/>
  <c r="J38" i="11"/>
  <c r="J39" i="11"/>
  <c r="J40" i="11"/>
  <c r="J41" i="11"/>
  <c r="J42" i="11"/>
  <c r="J44" i="11"/>
  <c r="J45" i="11"/>
  <c r="K46" i="11"/>
  <c r="I58" i="11"/>
  <c r="H58" i="11"/>
  <c r="J68" i="10"/>
  <c r="J69" i="10"/>
  <c r="J70" i="10"/>
  <c r="J71" i="10"/>
  <c r="J72" i="10"/>
  <c r="J73" i="10"/>
  <c r="J74" i="10"/>
  <c r="J75" i="10"/>
  <c r="J76" i="10"/>
  <c r="K77" i="10"/>
  <c r="H75" i="10"/>
  <c r="H76" i="10"/>
  <c r="J23" i="10"/>
  <c r="J24" i="10"/>
  <c r="J25" i="10"/>
  <c r="J26" i="10"/>
  <c r="J27" i="10"/>
  <c r="K28" i="10"/>
  <c r="H27" i="10"/>
  <c r="J48" i="10"/>
  <c r="J49" i="10"/>
  <c r="J62" i="10"/>
  <c r="J50" i="10"/>
  <c r="J51" i="10"/>
  <c r="J52" i="10"/>
  <c r="J53" i="10"/>
  <c r="J54" i="10"/>
  <c r="J55" i="10"/>
  <c r="J56" i="10"/>
  <c r="J57" i="10"/>
  <c r="J65" i="10"/>
  <c r="J58" i="10"/>
  <c r="J59" i="10"/>
  <c r="J60" i="10"/>
  <c r="J61" i="10"/>
  <c r="J64" i="10"/>
  <c r="K66" i="10"/>
  <c r="H59" i="10"/>
  <c r="H60" i="10"/>
  <c r="H61" i="10"/>
  <c r="H64" i="10"/>
  <c r="H45" i="11"/>
  <c r="E14" i="8"/>
  <c r="I45" i="11"/>
  <c r="I44" i="11"/>
  <c r="H44" i="11"/>
  <c r="H42" i="11"/>
  <c r="H41" i="11"/>
  <c r="I42" i="11"/>
  <c r="I41" i="11"/>
  <c r="H40" i="11"/>
  <c r="H39" i="11"/>
  <c r="I40" i="11"/>
  <c r="I39" i="11"/>
  <c r="H13" i="8"/>
  <c r="G13" i="8"/>
  <c r="F13" i="8"/>
  <c r="E13" i="8"/>
  <c r="H12" i="8"/>
  <c r="G12" i="8"/>
  <c r="F12" i="8"/>
  <c r="H11" i="8"/>
  <c r="G11" i="8"/>
  <c r="F11" i="8"/>
  <c r="E11" i="8"/>
  <c r="H26" i="11"/>
  <c r="I26" i="11"/>
  <c r="H27" i="11"/>
  <c r="I27" i="11"/>
  <c r="H28" i="11"/>
  <c r="I28" i="11"/>
  <c r="J49" i="11"/>
  <c r="K50" i="11"/>
  <c r="K76" i="11"/>
  <c r="J74" i="11"/>
  <c r="K77" i="11"/>
  <c r="F77" i="11"/>
  <c r="B74" i="11"/>
  <c r="I74" i="11"/>
  <c r="H74" i="11"/>
  <c r="I72" i="11"/>
  <c r="H72" i="11"/>
  <c r="I71" i="11"/>
  <c r="H71" i="11"/>
  <c r="I70" i="11"/>
  <c r="H70" i="11"/>
  <c r="I69" i="11"/>
  <c r="H69" i="11"/>
  <c r="I68" i="11"/>
  <c r="H68" i="11"/>
  <c r="I67" i="11"/>
  <c r="I62" i="11"/>
  <c r="H62" i="11"/>
  <c r="I65" i="11"/>
  <c r="H65" i="11"/>
  <c r="I64" i="11"/>
  <c r="H64" i="11"/>
  <c r="I59" i="11"/>
  <c r="H59" i="11"/>
  <c r="I57" i="11"/>
  <c r="H57" i="11"/>
  <c r="I61" i="11"/>
  <c r="H61" i="11"/>
  <c r="I60" i="11"/>
  <c r="H60" i="11"/>
  <c r="I63" i="11"/>
  <c r="H63" i="11"/>
  <c r="I56" i="11"/>
  <c r="H56" i="11"/>
  <c r="I55" i="11"/>
  <c r="H55" i="11"/>
  <c r="I54" i="11"/>
  <c r="H54" i="11"/>
  <c r="I53" i="11"/>
  <c r="H53" i="11"/>
  <c r="I49" i="11"/>
  <c r="H49" i="11"/>
  <c r="I38" i="11"/>
  <c r="H38" i="11"/>
  <c r="I37" i="11"/>
  <c r="H37" i="11"/>
  <c r="I36" i="11"/>
  <c r="H36" i="11"/>
  <c r="I35" i="11"/>
  <c r="H35" i="11"/>
  <c r="I34" i="11"/>
  <c r="H34" i="11"/>
  <c r="I33" i="11"/>
  <c r="H33" i="11"/>
  <c r="I32" i="11"/>
  <c r="H32" i="11"/>
  <c r="I25" i="11"/>
  <c r="H25" i="11"/>
  <c r="I24" i="11"/>
  <c r="H24" i="11"/>
  <c r="I23" i="11"/>
  <c r="H23" i="11"/>
  <c r="I22" i="11"/>
  <c r="H22" i="11"/>
  <c r="I21" i="11"/>
  <c r="H21" i="11"/>
  <c r="H19" i="11"/>
  <c r="F13" i="11"/>
  <c r="F12" i="11"/>
  <c r="D8" i="11"/>
  <c r="E5" i="11"/>
  <c r="I76" i="10"/>
  <c r="I75" i="10"/>
  <c r="I64" i="10"/>
  <c r="H58" i="10"/>
  <c r="H65" i="10"/>
  <c r="H57" i="10"/>
  <c r="I61" i="10"/>
  <c r="I66" i="10"/>
  <c r="I59" i="10"/>
  <c r="I58" i="10"/>
  <c r="I60" i="10"/>
  <c r="I65" i="10"/>
  <c r="I57" i="10"/>
  <c r="J43" i="10"/>
  <c r="K44" i="10"/>
  <c r="I27" i="10"/>
  <c r="J39" i="10"/>
  <c r="I39" i="10"/>
  <c r="H39" i="10"/>
  <c r="I22" i="10"/>
  <c r="I32" i="10"/>
  <c r="I50" i="9"/>
  <c r="J31" i="10"/>
  <c r="J32" i="10"/>
  <c r="J33" i="10"/>
  <c r="J34" i="10"/>
  <c r="J35" i="10"/>
  <c r="J36" i="10"/>
  <c r="J37" i="10"/>
  <c r="K40" i="10"/>
  <c r="K80" i="10"/>
  <c r="J78" i="10"/>
  <c r="K81" i="10"/>
  <c r="F81" i="10"/>
  <c r="I78" i="10"/>
  <c r="H78" i="10"/>
  <c r="I74" i="10"/>
  <c r="H74" i="10"/>
  <c r="I73" i="10"/>
  <c r="H73" i="10"/>
  <c r="I72" i="10"/>
  <c r="H72" i="10"/>
  <c r="I71" i="10"/>
  <c r="H71" i="10"/>
  <c r="I70" i="10"/>
  <c r="H70" i="10"/>
  <c r="I69" i="10"/>
  <c r="H69" i="10"/>
  <c r="I68" i="10"/>
  <c r="H68" i="10"/>
  <c r="I56" i="10"/>
  <c r="H56" i="10"/>
  <c r="I55" i="10"/>
  <c r="H55" i="10"/>
  <c r="I54" i="10"/>
  <c r="H54" i="10"/>
  <c r="I53" i="10"/>
  <c r="H53" i="10"/>
  <c r="I52" i="10"/>
  <c r="H52" i="10"/>
  <c r="I51" i="10"/>
  <c r="H51" i="10"/>
  <c r="I50" i="10"/>
  <c r="H50" i="10"/>
  <c r="I62" i="10"/>
  <c r="H62" i="10"/>
  <c r="I49" i="10"/>
  <c r="H49" i="10"/>
  <c r="I48" i="10"/>
  <c r="H48" i="10"/>
  <c r="I43" i="10"/>
  <c r="H43" i="10"/>
  <c r="I37" i="10"/>
  <c r="H37" i="10"/>
  <c r="I36" i="10"/>
  <c r="H36" i="10"/>
  <c r="I35" i="10"/>
  <c r="H35" i="10"/>
  <c r="I34" i="10"/>
  <c r="H34" i="10"/>
  <c r="I33" i="10"/>
  <c r="H33" i="10"/>
  <c r="H32" i="10"/>
  <c r="I31" i="10"/>
  <c r="H31" i="10"/>
  <c r="I26" i="10"/>
  <c r="H26" i="10"/>
  <c r="I25" i="10"/>
  <c r="H25" i="10"/>
  <c r="I24" i="10"/>
  <c r="H24" i="10"/>
  <c r="I23" i="10"/>
  <c r="H23" i="10"/>
  <c r="H18" i="10"/>
  <c r="F13" i="10"/>
  <c r="F12" i="10"/>
  <c r="D8" i="10"/>
  <c r="E5" i="10"/>
  <c r="H18" i="9"/>
  <c r="I44" i="5"/>
  <c r="J49" i="9"/>
  <c r="J50" i="9"/>
  <c r="K51" i="9"/>
  <c r="J56" i="9"/>
  <c r="J58" i="9"/>
  <c r="J64" i="9"/>
  <c r="J57" i="9"/>
  <c r="J61" i="9"/>
  <c r="J65" i="9"/>
  <c r="J66" i="9"/>
  <c r="J59" i="9"/>
  <c r="J60" i="9"/>
  <c r="H50" i="9"/>
  <c r="J43" i="9"/>
  <c r="H43" i="9"/>
  <c r="J35" i="9"/>
  <c r="H35" i="9"/>
  <c r="J39" i="9"/>
  <c r="H39" i="9"/>
  <c r="J37" i="9"/>
  <c r="H37" i="9"/>
  <c r="J38" i="9"/>
  <c r="H38" i="9"/>
  <c r="J36" i="9"/>
  <c r="H36" i="9"/>
  <c r="J33" i="9"/>
  <c r="H33" i="9"/>
  <c r="J42" i="9"/>
  <c r="H42" i="9"/>
  <c r="J41" i="9"/>
  <c r="H41" i="9"/>
  <c r="J34" i="9"/>
  <c r="H34" i="9"/>
  <c r="J44" i="9"/>
  <c r="H44" i="9"/>
  <c r="J40" i="9"/>
  <c r="H40" i="9"/>
  <c r="J45" i="9"/>
  <c r="H45" i="9"/>
  <c r="H46" i="9"/>
  <c r="J46" i="9"/>
  <c r="H76" i="9"/>
  <c r="I76" i="9"/>
  <c r="H75" i="9"/>
  <c r="I75" i="9"/>
  <c r="H74" i="9"/>
  <c r="I74" i="9"/>
  <c r="I33" i="9"/>
  <c r="I46" i="9"/>
  <c r="I45" i="9"/>
  <c r="I40" i="9"/>
  <c r="I44" i="9"/>
  <c r="K29" i="9"/>
  <c r="J32" i="9"/>
  <c r="K47" i="9"/>
  <c r="J55" i="9"/>
  <c r="K67" i="9"/>
  <c r="K81" i="9"/>
  <c r="J79" i="9"/>
  <c r="K82" i="9"/>
  <c r="F82" i="9"/>
  <c r="B79" i="9"/>
  <c r="I79" i="9"/>
  <c r="H79" i="9"/>
  <c r="I73" i="9"/>
  <c r="H73" i="9"/>
  <c r="I72" i="9"/>
  <c r="H72" i="9"/>
  <c r="I71" i="9"/>
  <c r="H71" i="9"/>
  <c r="I70" i="9"/>
  <c r="H70" i="9"/>
  <c r="I69" i="9"/>
  <c r="H69" i="9"/>
  <c r="I60" i="9"/>
  <c r="H60" i="9"/>
  <c r="I59" i="9"/>
  <c r="H59" i="9"/>
  <c r="I66" i="9"/>
  <c r="H66" i="9"/>
  <c r="I65" i="9"/>
  <c r="H65" i="9"/>
  <c r="I61" i="9"/>
  <c r="H61" i="9"/>
  <c r="I57" i="9"/>
  <c r="H57" i="9"/>
  <c r="I64" i="9"/>
  <c r="H64" i="9"/>
  <c r="I58" i="9"/>
  <c r="H58" i="9"/>
  <c r="I56" i="9"/>
  <c r="H56" i="9"/>
  <c r="I55" i="9"/>
  <c r="H55" i="9"/>
  <c r="I49" i="9"/>
  <c r="H49" i="9"/>
  <c r="I34" i="9"/>
  <c r="I41" i="9"/>
  <c r="I42" i="9"/>
  <c r="I36" i="9"/>
  <c r="I38" i="9"/>
  <c r="I37" i="9"/>
  <c r="I39" i="9"/>
  <c r="I35" i="9"/>
  <c r="I32" i="9"/>
  <c r="H32" i="9"/>
  <c r="F13" i="9"/>
  <c r="F12" i="9"/>
  <c r="D8" i="9"/>
  <c r="E5" i="9"/>
  <c r="J70" i="5"/>
  <c r="H70" i="5"/>
  <c r="H67" i="5"/>
  <c r="H65" i="5"/>
  <c r="H66" i="5"/>
  <c r="H68" i="5"/>
  <c r="J64" i="5"/>
  <c r="H64" i="5"/>
  <c r="J22" i="5"/>
  <c r="K30" i="5"/>
  <c r="J33" i="5"/>
  <c r="J44" i="5"/>
  <c r="K45" i="5"/>
  <c r="J48" i="5"/>
  <c r="K49" i="5"/>
  <c r="J52" i="5"/>
  <c r="K62" i="5"/>
  <c r="K69" i="5"/>
  <c r="K72" i="5"/>
  <c r="K73" i="5"/>
  <c r="I48" i="5"/>
  <c r="H48" i="5"/>
  <c r="F73" i="5"/>
  <c r="I68" i="5"/>
  <c r="I66" i="5"/>
  <c r="I65" i="5"/>
  <c r="I67" i="5"/>
  <c r="I64" i="5"/>
  <c r="I28" i="5"/>
  <c r="I42" i="5"/>
  <c r="I29" i="5"/>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B14" i="7"/>
  <c r="B15" i="7"/>
  <c r="B17" i="6"/>
  <c r="D3" i="6"/>
  <c r="B16" i="7"/>
  <c r="B17" i="7"/>
  <c r="B18" i="7"/>
  <c r="B19" i="7"/>
  <c r="B20" i="7"/>
  <c r="B22" i="7"/>
  <c r="B23" i="7"/>
  <c r="B24" i="7"/>
  <c r="B25" i="7"/>
  <c r="B26" i="7"/>
  <c r="B27" i="7"/>
  <c r="B28" i="7"/>
  <c r="I22" i="5"/>
  <c r="I23" i="5"/>
  <c r="I24" i="5"/>
  <c r="I25" i="5"/>
  <c r="I26" i="5"/>
  <c r="I27" i="5"/>
  <c r="B70" i="5"/>
  <c r="F13" i="5"/>
  <c r="H60" i="5"/>
  <c r="H39" i="5"/>
  <c r="H25" i="5"/>
  <c r="I33" i="5"/>
  <c r="I34" i="5"/>
  <c r="I36" i="5"/>
  <c r="I37" i="5"/>
  <c r="I38" i="5"/>
  <c r="I35" i="5"/>
  <c r="I39" i="5"/>
  <c r="I52" i="5"/>
  <c r="I53" i="5"/>
  <c r="I54" i="5"/>
  <c r="I55" i="5"/>
  <c r="I56" i="5"/>
  <c r="I60" i="5"/>
  <c r="I61" i="5"/>
  <c r="I57" i="5"/>
  <c r="I58" i="5"/>
  <c r="I59" i="5"/>
  <c r="I70" i="5"/>
  <c r="H18" i="5"/>
  <c r="D8" i="5"/>
  <c r="A31" i="6"/>
  <c r="H22" i="5"/>
  <c r="H27" i="5"/>
  <c r="H26" i="5"/>
  <c r="H24" i="5"/>
  <c r="H23" i="5"/>
  <c r="H33" i="5"/>
  <c r="H35" i="5"/>
  <c r="H38" i="5"/>
  <c r="H37" i="5"/>
  <c r="H36" i="5"/>
  <c r="H34" i="5"/>
  <c r="H44" i="5"/>
  <c r="H59" i="5"/>
  <c r="H58" i="5"/>
  <c r="H57" i="5"/>
  <c r="H61" i="5"/>
  <c r="H56" i="5"/>
  <c r="H55" i="5"/>
  <c r="H54" i="5"/>
  <c r="H53" i="5"/>
  <c r="H52" i="5"/>
  <c r="H29" i="5"/>
  <c r="H42" i="5"/>
  <c r="H28" i="5"/>
  <c r="F12" i="5"/>
  <c r="K79" i="17"/>
  <c r="J76" i="26"/>
  <c r="K79" i="26"/>
  <c r="F79" i="26"/>
  <c r="H76" i="26"/>
  <c r="H63" i="26"/>
  <c r="H62" i="26"/>
  <c r="H61" i="26"/>
  <c r="H60" i="26"/>
  <c r="H59" i="26"/>
  <c r="H58" i="26"/>
  <c r="H57" i="26"/>
  <c r="H55" i="26"/>
  <c r="H54" i="26"/>
  <c r="H44" i="26"/>
  <c r="H42" i="26"/>
  <c r="H41" i="26"/>
  <c r="H40" i="26"/>
  <c r="H39" i="26"/>
  <c r="H38" i="26"/>
  <c r="H37" i="26"/>
  <c r="H36" i="26"/>
  <c r="H35" i="26"/>
  <c r="H34" i="26"/>
  <c r="H33" i="26"/>
  <c r="H29" i="26"/>
  <c r="H28" i="26"/>
  <c r="H27" i="26"/>
  <c r="H26" i="26"/>
  <c r="H24" i="26"/>
  <c r="H23" i="26"/>
  <c r="H22" i="26"/>
  <c r="F12" i="26"/>
  <c r="K72" i="36"/>
  <c r="K81" i="30"/>
</calcChain>
</file>

<file path=xl/sharedStrings.xml><?xml version="1.0" encoding="utf-8"?>
<sst xmlns="http://schemas.openxmlformats.org/spreadsheetml/2006/main" count="3974" uniqueCount="822">
  <si>
    <t>beurre</t>
  </si>
  <si>
    <t>café</t>
  </si>
  <si>
    <t>sucre</t>
  </si>
  <si>
    <t>confiture</t>
  </si>
  <si>
    <t>pomme</t>
  </si>
  <si>
    <t>crème à café</t>
  </si>
  <si>
    <t>TOTAL</t>
  </si>
  <si>
    <t>kcal</t>
  </si>
  <si>
    <t>pondération</t>
  </si>
  <si>
    <t>kcal/jour</t>
  </si>
  <si>
    <t>non</t>
  </si>
  <si>
    <t>g/cl</t>
  </si>
  <si>
    <t xml:space="preserve"> </t>
  </si>
  <si>
    <t>Pour atteindre votre objectif</t>
  </si>
  <si>
    <t xml:space="preserve">Pour atteindre votre objectif, en tenant compte de votre activité physique supplémentaire, </t>
  </si>
  <si>
    <t>vous pouvez absorber</t>
  </si>
  <si>
    <t>soit</t>
  </si>
  <si>
    <t>alcool inclus.</t>
  </si>
  <si>
    <t>Activités supplémentaires</t>
  </si>
  <si>
    <t>Apport calorique du jour (sans alcool)</t>
  </si>
  <si>
    <t>alcool</t>
  </si>
  <si>
    <t>objectif</t>
  </si>
  <si>
    <t>pr 100 g</t>
  </si>
  <si>
    <t>réels</t>
  </si>
  <si>
    <t>Menus Pan Metron du jour</t>
  </si>
  <si>
    <t>^</t>
  </si>
  <si>
    <t>(cf. menus Pan Metron ci-dessous)</t>
  </si>
  <si>
    <t>de moins que les menus Pan Metron du jour</t>
  </si>
  <si>
    <t>de plus que les menus Pan Metron du jour</t>
  </si>
  <si>
    <t>Consommation de vin</t>
  </si>
  <si>
    <t>1 verre</t>
  </si>
  <si>
    <t>2 verres</t>
  </si>
  <si>
    <t>(2,5 dl)</t>
  </si>
  <si>
    <t>calculateur des dépenses énergétiques</t>
  </si>
  <si>
    <t xml:space="preserve"> votre consommation de vin incluse</t>
  </si>
  <si>
    <t>Mon objectif</t>
  </si>
  <si>
    <t>Personnalisation</t>
  </si>
  <si>
    <t xml:space="preserve">Si vous faites effectivement les activités physiques prévues, vous allez donc pouvoir augmenter les quantités retenues dans les menus (comme proposé dans le secteur “Personnalisation"), ou ajouter des aliments supplémentaires. </t>
  </si>
  <si>
    <t>Il faut donc agir:
&gt; Vous pouvez augmenter encore votre activité physique.
&gt; Ou/et diminuer la quantité de certains ingrédients des recettes du jour dans la première colonne, jusqu'à atteindre votre objectif. Visez de préférence les aliments rouge et orange, de façon à ne pas prétériter l'équilibre nutritionnel de la journée.
&gt; Si cela ne suffit toujours pas à atteindre votre objectif, le programme adapte proportionnellement  les quantités pour y parvenir, sauf celles des boissons non caloriques (eau, café, etc.)</t>
  </si>
  <si>
    <t>Date</t>
  </si>
  <si>
    <t xml:space="preserve">Poids </t>
  </si>
  <si>
    <t>Première semaine</t>
  </si>
  <si>
    <t>vin</t>
  </si>
  <si>
    <t>schnaps</t>
  </si>
  <si>
    <t>Jour 1</t>
  </si>
  <si>
    <t>Jour 2</t>
  </si>
  <si>
    <t>Jour 3</t>
  </si>
  <si>
    <t>Jour 4</t>
  </si>
  <si>
    <t>Jour 5</t>
  </si>
  <si>
    <t>Jour 6</t>
  </si>
  <si>
    <t>Jour 7</t>
  </si>
  <si>
    <t>Deuxième semaine</t>
  </si>
  <si>
    <t>Jour 8</t>
  </si>
  <si>
    <t>Jour 9</t>
  </si>
  <si>
    <t>Jour 10</t>
  </si>
  <si>
    <t>Jour 11</t>
  </si>
  <si>
    <t>Jour 12</t>
  </si>
  <si>
    <t>Jour 13</t>
  </si>
  <si>
    <t>Jour 14</t>
  </si>
  <si>
    <t>Poids final</t>
  </si>
  <si>
    <t>Bilan général</t>
  </si>
  <si>
    <t>(en kcal)</t>
  </si>
  <si>
    <t>Alimentation</t>
  </si>
  <si>
    <t>Déplacements</t>
  </si>
  <si>
    <t>Activité physiques</t>
  </si>
  <si>
    <t>Formulaire</t>
  </si>
  <si>
    <t>Bilan</t>
  </si>
  <si>
    <t>jour 1</t>
  </si>
  <si>
    <t>jour 2</t>
  </si>
  <si>
    <t>jour 3</t>
  </si>
  <si>
    <t>jour 4</t>
  </si>
  <si>
    <t>jour 5</t>
  </si>
  <si>
    <t>jour 6</t>
  </si>
  <si>
    <t>jour 7</t>
  </si>
  <si>
    <t>jour 8</t>
  </si>
  <si>
    <t>jour 9</t>
  </si>
  <si>
    <t>jour 10</t>
  </si>
  <si>
    <t>jour 11</t>
  </si>
  <si>
    <t>jour 12</t>
  </si>
  <si>
    <t>jour 13</t>
  </si>
  <si>
    <t>jour 14</t>
  </si>
  <si>
    <t>kcal à manger en moins</t>
  </si>
  <si>
    <t>* calcul très approximatif fondé sur l'estimation que 1 kilo de graisse est égal à environ 7000 kcal</t>
  </si>
  <si>
    <t>14 jours de bilan</t>
  </si>
  <si>
    <t>Début du bilan</t>
  </si>
  <si>
    <t>kg (poids le matin du 15e jour, à jeun )</t>
  </si>
  <si>
    <t>kg (poids le matin du premier jour, à jeun)</t>
  </si>
  <si>
    <t>kilos à perdre</t>
  </si>
  <si>
    <t>kg dans le mois à venir</t>
  </si>
  <si>
    <t>message &lt;1500</t>
  </si>
  <si>
    <t>Attention: manger mois de 1500 kcal par jour est un objectif trop ambitieux. Nous vous suggérons soit de le revoir à la hausse, soit d'augmenter vos activités physiques.</t>
  </si>
  <si>
    <t>(JJ/MM/AA)</t>
  </si>
  <si>
    <t>Faites le point sur vos dépenses et vos besoins caloriques</t>
  </si>
  <si>
    <r>
      <t>Alcool</t>
    </r>
    <r>
      <rPr>
        <sz val="12"/>
        <rFont val="Calibri"/>
        <scheme val="minor"/>
      </rPr>
      <t xml:space="preserve"> </t>
    </r>
    <r>
      <rPr>
        <sz val="12"/>
        <color rgb="FFFF6600"/>
        <rFont val="Calibri"/>
        <scheme val="minor"/>
      </rPr>
      <t>(en dl)</t>
    </r>
  </si>
  <si>
    <r>
      <rPr>
        <b/>
        <sz val="12"/>
        <color theme="1"/>
        <rFont val="Calibri"/>
        <family val="2"/>
        <scheme val="minor"/>
      </rPr>
      <t>réguliers</t>
    </r>
    <r>
      <rPr>
        <sz val="12"/>
        <color theme="1"/>
        <rFont val="Calibri"/>
        <family val="2"/>
        <scheme val="minor"/>
      </rPr>
      <t xml:space="preserve"> </t>
    </r>
    <r>
      <rPr>
        <sz val="12"/>
        <color rgb="FFFF0000"/>
        <rFont val="Calibri"/>
        <family val="2"/>
        <scheme val="minor"/>
      </rPr>
      <t>(en pas)</t>
    </r>
  </si>
  <si>
    <t>Gardez la ligne</t>
  </si>
  <si>
    <t>Le guide pratique</t>
  </si>
  <si>
    <t>&gt;&gt;&gt; Faites le point sur vos dépenses et vos besoins caloriques</t>
  </si>
  <si>
    <t>&gt;&gt;</t>
  </si>
  <si>
    <t>RETOUR AU SOMMAIRE</t>
  </si>
  <si>
    <t>&gt;&gt;&gt;&gt;</t>
  </si>
  <si>
    <t xml:space="preserve">Couleur Pan Metron </t>
  </si>
  <si>
    <t>pain complet</t>
  </si>
  <si>
    <t>jus d'orange maison</t>
  </si>
  <si>
    <t>jus de citron maison</t>
  </si>
  <si>
    <t>Parmesan</t>
  </si>
  <si>
    <t>basilic frais</t>
  </si>
  <si>
    <t>persil frais</t>
  </si>
  <si>
    <t>huile d'olive</t>
  </si>
  <si>
    <t>sel</t>
  </si>
  <si>
    <t>salade de crudités</t>
  </si>
  <si>
    <t>sauce salade italienne</t>
  </si>
  <si>
    <t>Linguine au citron et au basilic, salade de crudités</t>
  </si>
  <si>
    <t>côte de veau</t>
  </si>
  <si>
    <t>épinards frais</t>
  </si>
  <si>
    <t>safran</t>
  </si>
  <si>
    <t>poivre</t>
  </si>
  <si>
    <t>bouillon de légumes</t>
  </si>
  <si>
    <t>farine</t>
  </si>
  <si>
    <t>curry</t>
  </si>
  <si>
    <t>riz basmati (sec)</t>
  </si>
  <si>
    <t>Flan à la noix de coco</t>
  </si>
  <si>
    <t>lait écrémé UHT</t>
  </si>
  <si>
    <t>yogourt aux fruits</t>
  </si>
  <si>
    <t>gousse vanille</t>
  </si>
  <si>
    <t>noix de coco râpée</t>
  </si>
  <si>
    <t>œuf</t>
  </si>
  <si>
    <t>En guise de dessert</t>
  </si>
  <si>
    <t>cookie aux pépites chocolat</t>
  </si>
  <si>
    <t>TOTAL du jour</t>
  </si>
  <si>
    <t>avec vin</t>
  </si>
  <si>
    <t>Début de l'exercice (premier jour où vous suivrez les menus)</t>
  </si>
  <si>
    <t>différence</t>
  </si>
  <si>
    <t>pondération (M18)</t>
  </si>
  <si>
    <t>œuf à la coque</t>
  </si>
  <si>
    <t>thé</t>
  </si>
  <si>
    <t>salade de fruits frais</t>
  </si>
  <si>
    <t>fromage blanc 20%</t>
  </si>
  <si>
    <t>pâte à gâteau</t>
  </si>
  <si>
    <t>poireau</t>
  </si>
  <si>
    <t>courgette</t>
  </si>
  <si>
    <t>carottes</t>
  </si>
  <si>
    <t>céleri-rave</t>
  </si>
  <si>
    <t>poivron jaune</t>
  </si>
  <si>
    <t>lait</t>
  </si>
  <si>
    <t>crème</t>
  </si>
  <si>
    <t>fromage râpé</t>
  </si>
  <si>
    <t>muscade</t>
  </si>
  <si>
    <t>persil</t>
  </si>
  <si>
    <t xml:space="preserve">yogourt grec de brebis </t>
  </si>
  <si>
    <t xml:space="preserve">poivre </t>
  </si>
  <si>
    <t>jus de citron vert</t>
  </si>
  <si>
    <t>thym</t>
  </si>
  <si>
    <t>endives</t>
  </si>
  <si>
    <t>lardons</t>
  </si>
  <si>
    <t>rhubarbe</t>
  </si>
  <si>
    <t>crème épaisse</t>
  </si>
  <si>
    <t>vanille</t>
  </si>
  <si>
    <t>Puis suivez nos recettes durant un mois</t>
  </si>
  <si>
    <t>Commencer par calculer vos besoins énegrétiques</t>
  </si>
  <si>
    <t>céréales au miel</t>
  </si>
  <si>
    <t>jambon</t>
  </si>
  <si>
    <t>sauce française</t>
  </si>
  <si>
    <t>yogourt mocca</t>
  </si>
  <si>
    <t>cannelle</t>
  </si>
  <si>
    <t>blanc de poulet</t>
  </si>
  <si>
    <t>paprika</t>
  </si>
  <si>
    <t>yogourt nature</t>
  </si>
  <si>
    <t>piment</t>
  </si>
  <si>
    <t>aïl</t>
  </si>
  <si>
    <t>canelle</t>
  </si>
  <si>
    <t>menthe</t>
  </si>
  <si>
    <t>riz</t>
  </si>
  <si>
    <t>poivron</t>
  </si>
  <si>
    <t>tomate</t>
  </si>
  <si>
    <t>oignons</t>
  </si>
  <si>
    <t>gingembre</t>
  </si>
  <si>
    <t>Tarte à la ricotta et aux fruits rouges</t>
  </si>
  <si>
    <t>margarine</t>
  </si>
  <si>
    <t>farine de blé</t>
  </si>
  <si>
    <t>fruits rouges</t>
  </si>
  <si>
    <t>œufs</t>
  </si>
  <si>
    <t>ricotta</t>
  </si>
  <si>
    <t>sucre vanillé</t>
  </si>
  <si>
    <t>maïzena</t>
  </si>
  <si>
    <t>sucre roux</t>
  </si>
  <si>
    <t>Côtes de veau au curry avec riz</t>
  </si>
  <si>
    <t>Dos de cabillaud au chorizo, purée et endives</t>
  </si>
  <si>
    <t>Clafoutis à la rhubarbe et à la canelle</t>
  </si>
  <si>
    <t>pommes de terre</t>
  </si>
  <si>
    <t>parmesan</t>
  </si>
  <si>
    <t>persil plat</t>
  </si>
  <si>
    <t>saladade de crudités</t>
  </si>
  <si>
    <t>dos de saumon</t>
  </si>
  <si>
    <t>saumon fumé</t>
  </si>
  <si>
    <t>chou vert frisé</t>
  </si>
  <si>
    <t>aneth</t>
  </si>
  <si>
    <t>huile de colza</t>
  </si>
  <si>
    <t>sauce soja</t>
  </si>
  <si>
    <t>banane</t>
  </si>
  <si>
    <t>bavette de bœuf</t>
  </si>
  <si>
    <t>pommes-de-terre</t>
  </si>
  <si>
    <t>mesclun</t>
  </si>
  <si>
    <t>orange</t>
  </si>
  <si>
    <t>citron</t>
  </si>
  <si>
    <t>cerfeuil</t>
  </si>
  <si>
    <t>yogourt grec</t>
  </si>
  <si>
    <t>miel</t>
  </si>
  <si>
    <t>Cake au citron</t>
  </si>
  <si>
    <t>citrons</t>
  </si>
  <si>
    <t>levure</t>
  </si>
  <si>
    <t>dos de cabillaud</t>
  </si>
  <si>
    <t>chorizo</t>
  </si>
  <si>
    <t>huille d'olive</t>
  </si>
  <si>
    <t>sauce tomate</t>
  </si>
  <si>
    <t>olives noires</t>
  </si>
  <si>
    <t>piment rouge frais</t>
  </si>
  <si>
    <t>pâtes (crues)</t>
  </si>
  <si>
    <t xml:space="preserve">penne </t>
  </si>
  <si>
    <t>Salade de fruits</t>
  </si>
  <si>
    <t>ananas</t>
  </si>
  <si>
    <t>litchi</t>
  </si>
  <si>
    <t>kiwi</t>
  </si>
  <si>
    <t>jus citron</t>
  </si>
  <si>
    <t>Quiche au légumes et aux lardons</t>
  </si>
  <si>
    <t>MIDI</t>
  </si>
  <si>
    <t>SOIR</t>
  </si>
  <si>
    <t>Ingrédients</t>
  </si>
  <si>
    <t>QUATRE HEURES</t>
  </si>
  <si>
    <t>#c</t>
  </si>
  <si>
    <t>#e</t>
  </si>
  <si>
    <t>#b</t>
  </si>
  <si>
    <t>#d</t>
  </si>
  <si>
    <t>#a</t>
  </si>
  <si>
    <t>sucre glace</t>
  </si>
  <si>
    <t>Croque-Madame au chèvre avec salade</t>
  </si>
  <si>
    <t xml:space="preserve"> pain de mie</t>
  </si>
  <si>
    <t xml:space="preserve">jambon  </t>
  </si>
  <si>
    <t xml:space="preserve">chèvre crémeux </t>
  </si>
  <si>
    <t>salade</t>
  </si>
  <si>
    <t>tomates</t>
  </si>
  <si>
    <t>sucre blanc</t>
  </si>
  <si>
    <t>PETIT DEJEUNER CLASSIQUE</t>
  </si>
  <si>
    <t>PETIT DEJEUNER AVEC ŒUF</t>
  </si>
  <si>
    <t>PETIT DEJEUNER CEREALES</t>
  </si>
  <si>
    <t>Gnochi au jambon cru et salade crudités</t>
  </si>
  <si>
    <t>fromage tartare</t>
  </si>
  <si>
    <t>sauce salade au yogourt</t>
  </si>
  <si>
    <t>Mousse au café</t>
  </si>
  <si>
    <t>café soluble</t>
  </si>
  <si>
    <t xml:space="preserve">sucre </t>
  </si>
  <si>
    <t>boulgour sec</t>
  </si>
  <si>
    <t>feuilles de gélatine</t>
  </si>
  <si>
    <t>crème 25%</t>
  </si>
  <si>
    <t>pamplemousse rose</t>
  </si>
  <si>
    <t>aubergine</t>
  </si>
  <si>
    <t>dés de jambon</t>
  </si>
  <si>
    <t xml:space="preserve">filets d'anchois </t>
  </si>
  <si>
    <t>sucralose</t>
  </si>
  <si>
    <t>Penne all'arrabatia + mesclun</t>
  </si>
  <si>
    <t>pignons</t>
  </si>
  <si>
    <t>poire</t>
  </si>
  <si>
    <t>Rouleau deux saumons et chou , boulgour</t>
  </si>
  <si>
    <t>Blanc de poulet tandoori, riz basmati, légumes</t>
  </si>
  <si>
    <t>Bavette à la Lyonnaise , pommes de terre sautées et thian de légumes</t>
  </si>
  <si>
    <t>mâche</t>
  </si>
  <si>
    <t>sauce à salade française</t>
  </si>
  <si>
    <t xml:space="preserve">merguez </t>
  </si>
  <si>
    <t>semoule de couscous</t>
  </si>
  <si>
    <t>abricots secs</t>
  </si>
  <si>
    <t>feta</t>
  </si>
  <si>
    <t>oignon</t>
  </si>
  <si>
    <t xml:space="preserve">lentilles </t>
  </si>
  <si>
    <t>piment rouge</t>
  </si>
  <si>
    <t xml:space="preserve"> laitue romaine</t>
  </si>
  <si>
    <t>chou-fleur</t>
  </si>
  <si>
    <t>filets de truite</t>
  </si>
  <si>
    <t>glace</t>
  </si>
  <si>
    <t>sablé</t>
  </si>
  <si>
    <t>petit-suisse</t>
  </si>
  <si>
    <t>Salade de couscous aux merguez</t>
  </si>
  <si>
    <t>lapin</t>
  </si>
  <si>
    <t>Tarte au bleu et aux endives</t>
  </si>
  <si>
    <t>moutarde</t>
  </si>
  <si>
    <t>chapelure</t>
  </si>
  <si>
    <t>oeufs</t>
  </si>
  <si>
    <t>crème liquide</t>
  </si>
  <si>
    <t>endive</t>
  </si>
  <si>
    <t>pâte feuilletée abaissée</t>
  </si>
  <si>
    <t>fromage bleu</t>
  </si>
  <si>
    <t>Lapin aux amandes, purée, épinards</t>
  </si>
  <si>
    <t>branche chocolat</t>
  </si>
  <si>
    <t>amandes grillées</t>
  </si>
  <si>
    <t>gingembre moulu</t>
  </si>
  <si>
    <t>purée en flocons</t>
  </si>
  <si>
    <t>épinards surgelés</t>
  </si>
  <si>
    <t>6 carottes</t>
  </si>
  <si>
    <t>1 poireau</t>
  </si>
  <si>
    <t>1 oignon</t>
  </si>
  <si>
    <t>600 g. d'émincé de veau</t>
  </si>
  <si>
    <t>1 cube de bouillon boeuf</t>
  </si>
  <si>
    <t xml:space="preserve">4 c.s. de crème </t>
  </si>
  <si>
    <t>riz  (sec)</t>
  </si>
  <si>
    <t>1 c.s. d'huile de tournesol</t>
  </si>
  <si>
    <t>0.5 dl de vin blanc</t>
  </si>
  <si>
    <t>Emincé de veau aux petits légumes</t>
  </si>
  <si>
    <t>sorbet aux fruits</t>
  </si>
  <si>
    <t>chapelure de pain</t>
  </si>
  <si>
    <t>sauce à salade italienne</t>
  </si>
  <si>
    <t>Verrine aux pommes et noisettes</t>
  </si>
  <si>
    <t>Boulettes végétariennes et salade mixte</t>
  </si>
  <si>
    <t>1 bouquet garni</t>
  </si>
  <si>
    <t xml:space="preserve">Brochettes de lotte marinée, riz blanc et piperade </t>
  </si>
  <si>
    <t>piment d'espelette</t>
  </si>
  <si>
    <t>riz blanc</t>
  </si>
  <si>
    <t>Choix de fromages, pommes de terre vapeur, salade verte</t>
  </si>
  <si>
    <t>Spaghetti à la crème d'aubergines, salade de carottes orange</t>
  </si>
  <si>
    <t>vin blanc</t>
  </si>
  <si>
    <t>Cuisses de poulet chasseur, endives au soja</t>
  </si>
  <si>
    <t>1 citron</t>
  </si>
  <si>
    <t>Verrine de ricotta au citron</t>
  </si>
  <si>
    <t>cumin en poudre</t>
  </si>
  <si>
    <t>huile d'olive </t>
  </si>
  <si>
    <t>1 aubergine </t>
  </si>
  <si>
    <t>salade pommée (200 g)</t>
  </si>
  <si>
    <t xml:space="preserve">tabasco </t>
  </si>
  <si>
    <t>Chili végétarien, blé Ebly, salade</t>
  </si>
  <si>
    <t>Foie de veau au bacon, pdt nouvelles, carottes au cumin</t>
  </si>
  <si>
    <t>fromage à tartiner</t>
  </si>
  <si>
    <t>pain de seigle</t>
  </si>
  <si>
    <t>Mousse au chocolat</t>
  </si>
  <si>
    <t xml:space="preserve">sel </t>
  </si>
  <si>
    <t xml:space="preserve">Truite aux lentilles </t>
  </si>
  <si>
    <t>moutarde gros grains</t>
  </si>
  <si>
    <t>graines de tournesol</t>
  </si>
  <si>
    <t>saucisse de Morteau</t>
  </si>
  <si>
    <t>poivron rouge</t>
  </si>
  <si>
    <t xml:space="preserve">pulpe de tomates en boîte </t>
  </si>
  <si>
    <t>haricots rouges cuits en boîte</t>
  </si>
  <si>
    <t>sauce tomate en boîte</t>
  </si>
  <si>
    <t>café de piment doux </t>
  </si>
  <si>
    <t>origan </t>
  </si>
  <si>
    <t>foie de veau</t>
  </si>
  <si>
    <t>bacon</t>
  </si>
  <si>
    <t>vinaigre de vin</t>
  </si>
  <si>
    <t>romarin en pudre</t>
  </si>
  <si>
    <t>pommes de terre nouvelles</t>
  </si>
  <si>
    <t>chocolat noir </t>
  </si>
  <si>
    <t xml:space="preserve">beurre  </t>
  </si>
  <si>
    <t>parmesan râpé</t>
  </si>
  <si>
    <t>rampon (mâche)</t>
  </si>
  <si>
    <t>Risotto forestier à la sauge, salade de rampon</t>
  </si>
  <si>
    <t>Saucisson de Morteau et poireau en croûte, salade de tomates</t>
  </si>
  <si>
    <t xml:space="preserve">bolets 
 </t>
  </si>
  <si>
    <t xml:space="preserve">chanterelles </t>
  </si>
  <si>
    <t>champignons de Paris</t>
  </si>
  <si>
    <t>sauge</t>
  </si>
  <si>
    <t>riz pour risotto</t>
  </si>
  <si>
    <t>abaisse de pâte à pizza rectangulaire</t>
  </si>
  <si>
    <t xml:space="preserve">maïzena </t>
  </si>
  <si>
    <t>paprika doux</t>
  </si>
  <si>
    <t>piment de Cayenne</t>
  </si>
  <si>
    <t>huile d’olive</t>
  </si>
  <si>
    <t>Bœuf haché aux poivrons, pommes de terre au four</t>
  </si>
  <si>
    <t>Salade de crevette, avocats et fenouils</t>
  </si>
  <si>
    <t>4 pommes</t>
  </si>
  <si>
    <t>15 g de cerneaux de noix</t>
  </si>
  <si>
    <t>15 g de noisettes</t>
  </si>
  <si>
    <t>Pommes au four et fruits secs</t>
  </si>
  <si>
    <t>cannelle en poudre</t>
  </si>
  <si>
    <t>20 g de beurre</t>
  </si>
  <si>
    <t>15 g de raisins secs sultanine</t>
  </si>
  <si>
    <t>Crème brûlée</t>
  </si>
  <si>
    <t xml:space="preserve">sucre roux </t>
  </si>
  <si>
    <t>barre de céréales aux fruits</t>
  </si>
  <si>
    <t>crevettes</t>
  </si>
  <si>
    <t>avocats</t>
  </si>
  <si>
    <t>fenouil</t>
  </si>
  <si>
    <t>fromage blanc 0 %</t>
  </si>
  <si>
    <t>ciboulette</t>
  </si>
  <si>
    <t>pain de campagne</t>
  </si>
  <si>
    <t>yogourt nature )</t>
  </si>
  <si>
    <t>oignons jaunes</t>
  </si>
  <si>
    <t>viande de bœuf hachée</t>
  </si>
  <si>
    <t xml:space="preserve">sauce tomate </t>
  </si>
  <si>
    <t>sucre blanc</t>
  </si>
  <si>
    <t>gousse de vanille</t>
  </si>
  <si>
    <t>sauce italienne</t>
  </si>
  <si>
    <t>Jambon à la crème</t>
  </si>
  <si>
    <t>Couscous aux légumes</t>
  </si>
  <si>
    <t xml:space="preserve">beurre </t>
  </si>
  <si>
    <t>chocolat noir</t>
  </si>
  <si>
    <t>Poire au yogourt à la menthe</t>
  </si>
  <si>
    <t>champignons de Paris en boîte</t>
  </si>
  <si>
    <t>échalote</t>
  </si>
  <si>
    <t xml:space="preserve"> cognac</t>
  </si>
  <si>
    <t>gingembre en poudre</t>
  </si>
  <si>
    <t>piment en poudre</t>
  </si>
  <si>
    <t xml:space="preserve"> safran moulu</t>
  </si>
  <si>
    <t>courgettes</t>
  </si>
  <si>
    <t xml:space="preserve"> courge</t>
  </si>
  <si>
    <t>patate douces</t>
  </si>
  <si>
    <t>navet</t>
  </si>
  <si>
    <t>coriandre</t>
  </si>
  <si>
    <t>raisins secs</t>
  </si>
  <si>
    <t>pois chiches en boîte</t>
  </si>
  <si>
    <t>poires</t>
  </si>
  <si>
    <t xml:space="preserve">yougourt nature </t>
  </si>
  <si>
    <t>menthe fraîche</t>
  </si>
  <si>
    <t>tapenade en bocal</t>
  </si>
  <si>
    <t>feta de brebis</t>
  </si>
  <si>
    <t>Filet de cabillaud à la tapenade, pâtes au basilic</t>
  </si>
  <si>
    <t xml:space="preserve">jambon cru </t>
  </si>
  <si>
    <t>Tarte aux légumes et au jambon sec</t>
  </si>
  <si>
    <t xml:space="preserve"> raisins secs sultanine</t>
  </si>
  <si>
    <t xml:space="preserve">asperges </t>
  </si>
  <si>
    <t>poireaux</t>
  </si>
  <si>
    <t xml:space="preserve">crème </t>
  </si>
  <si>
    <t xml:space="preserve">fromage râpé </t>
  </si>
  <si>
    <t>basilic</t>
  </si>
  <si>
    <t xml:space="preserve">filets cabillaud </t>
  </si>
  <si>
    <t>penne</t>
  </si>
  <si>
    <t>raisins secs sultanine</t>
  </si>
  <si>
    <t>Filet d'agneau aux épices et son chou frisé</t>
  </si>
  <si>
    <t>fines herbes</t>
  </si>
  <si>
    <t>rampon</t>
  </si>
  <si>
    <t>sauce à salade yogourt</t>
  </si>
  <si>
    <t>huile d’arachide</t>
  </si>
  <si>
    <t>coriandre moulue</t>
  </si>
  <si>
    <t>noix de muscade moulue</t>
  </si>
  <si>
    <t>pêche</t>
  </si>
  <si>
    <t>Mousse au citron sur genoise</t>
  </si>
  <si>
    <t>Gruyères</t>
  </si>
  <si>
    <t>filets d’agneau</t>
  </si>
  <si>
    <t>quinoa (cuit)</t>
  </si>
  <si>
    <t xml:space="preserve"> œufs</t>
  </si>
  <si>
    <t xml:space="preserve">citron </t>
  </si>
  <si>
    <t>mascarpone</t>
  </si>
  <si>
    <t xml:space="preserve"> pommes de terre</t>
  </si>
  <si>
    <t>chou frisé</t>
  </si>
  <si>
    <t>vinaigre</t>
  </si>
  <si>
    <t>poivre noir</t>
  </si>
  <si>
    <t>origan</t>
  </si>
  <si>
    <t>Spaghetti à la mode d'Ascona</t>
  </si>
  <si>
    <t>Riz en salade à l'italienne</t>
  </si>
  <si>
    <t>2 boules de glace</t>
  </si>
  <si>
    <t xml:space="preserve">blanc de poulet </t>
  </si>
  <si>
    <t>jambon cru</t>
  </si>
  <si>
    <t>paghetti</t>
  </si>
  <si>
    <t>sbrinz</t>
  </si>
  <si>
    <t>jambon de Parme</t>
  </si>
  <si>
    <t>melon</t>
  </si>
  <si>
    <t>poivron vert</t>
  </si>
  <si>
    <t xml:space="preserve"> cœur de céleri-branche</t>
  </si>
  <si>
    <t xml:space="preserve"> riz</t>
  </si>
  <si>
    <t>bouillon de volaille</t>
  </si>
  <si>
    <t xml:space="preserve">1 oignon </t>
  </si>
  <si>
    <t xml:space="preserve">1 pomme de terre </t>
  </si>
  <si>
    <t xml:space="preserve">2 carottes </t>
  </si>
  <si>
    <t xml:space="preserve">1 piment vert frais </t>
  </si>
  <si>
    <t>100 g. de petit pois surgelés</t>
  </si>
  <si>
    <t xml:space="preserve">60 g. de chou-fleur </t>
  </si>
  <si>
    <t>250 g. de farine</t>
  </si>
  <si>
    <t>beurre fondu</t>
  </si>
  <si>
    <t xml:space="preserve">feuilles de coriandre </t>
  </si>
  <si>
    <t>sel 4+2</t>
  </si>
  <si>
    <t>salade verte</t>
  </si>
  <si>
    <t>Samosas aux légumes</t>
  </si>
  <si>
    <t xml:space="preserve">jus de citron </t>
  </si>
  <si>
    <t>Baudroie au curry et pommes vertes</t>
  </si>
  <si>
    <t>2 pommes granny smith</t>
  </si>
  <si>
    <t>fumet de poisson instantané</t>
  </si>
  <si>
    <t>1 verre de vin blanc sec</t>
  </si>
  <si>
    <t>25 g de beurre salé</t>
  </si>
  <si>
    <t>curry jaune</t>
  </si>
  <si>
    <t>600 g de baudroie (lotte)</t>
  </si>
  <si>
    <t>500 g de courgettes</t>
  </si>
  <si>
    <t>400 g de carottes</t>
  </si>
  <si>
    <t>200 g boulghour (sec)</t>
  </si>
  <si>
    <t>une grappe de raisins (150 g)</t>
  </si>
  <si>
    <t>Litchis et gelée de rose</t>
  </si>
  <si>
    <t>4 feuilles de gélatine</t>
  </si>
  <si>
    <t>1 boite de litchis (250 g)</t>
  </si>
  <si>
    <t xml:space="preserve">sablés </t>
  </si>
  <si>
    <t>2 dl de crème fraîche</t>
  </si>
  <si>
    <t xml:space="preserve">aïl </t>
  </si>
  <si>
    <t>curry doux en poudre</t>
  </si>
  <si>
    <t>coriandre en poudre</t>
  </si>
  <si>
    <t>curcuma en poudre</t>
  </si>
  <si>
    <t>moutarde en grains</t>
  </si>
  <si>
    <t xml:space="preserve">huile de tournesol </t>
  </si>
  <si>
    <t>Salade de chèvre chaud aux noix</t>
  </si>
  <si>
    <t xml:space="preserve">huile de colza </t>
  </si>
  <si>
    <t xml:space="preserve">herbes povençales </t>
  </si>
  <si>
    <t xml:space="preserve">chapelure </t>
  </si>
  <si>
    <t xml:space="preserve">persil </t>
  </si>
  <si>
    <t>beurre </t>
  </si>
  <si>
    <t>Délice à la mangue et à l’ananas</t>
  </si>
  <si>
    <t>Entrecôte de boeuf mariné, frites, tomates provençales</t>
  </si>
  <si>
    <t>huile de sésame</t>
  </si>
  <si>
    <t>frites au four</t>
  </si>
  <si>
    <t>ananas Victoria </t>
  </si>
  <si>
    <t>mangues </t>
  </si>
  <si>
    <t>jus d'abricot </t>
  </si>
  <si>
    <t>cannelle </t>
  </si>
  <si>
    <t>eau de fleur d'oranger </t>
  </si>
  <si>
    <t xml:space="preserve">abricots secs </t>
  </si>
  <si>
    <t>raisins secs </t>
  </si>
  <si>
    <t>sucre roux</t>
  </si>
  <si>
    <t>cerneaux de noix</t>
  </si>
  <si>
    <t>scarole</t>
  </si>
  <si>
    <t xml:space="preserve">bûche chèvre </t>
  </si>
  <si>
    <t xml:space="preserve">baguette de pain </t>
  </si>
  <si>
    <t>Risotto au saumon fumé, parfumé au chardonnay</t>
  </si>
  <si>
    <t>Cocos blancs en sauce au potiron épicée</t>
  </si>
  <si>
    <t xml:space="preserve">poivre de Cayenne </t>
  </si>
  <si>
    <t>3 dl de chardonnay</t>
  </si>
  <si>
    <t>huile d'olive pimentée</t>
  </si>
  <si>
    <t xml:space="preserve">sarriette hachée </t>
  </si>
  <si>
    <t xml:space="preserve">purée de tomate </t>
  </si>
  <si>
    <t>Tartelette aux framboises</t>
  </si>
  <si>
    <t>haricots blancs</t>
  </si>
  <si>
    <t>chair de potiron</t>
  </si>
  <si>
    <t>céleri</t>
  </si>
  <si>
    <t xml:space="preserve"> échalote</t>
  </si>
  <si>
    <t>fumet de poisson</t>
  </si>
  <si>
    <t>crème acidulée</t>
  </si>
  <si>
    <t>asperges vertes</t>
  </si>
  <si>
    <t xml:space="preserve">zeste de citron bio </t>
  </si>
  <si>
    <t>crème à battre</t>
  </si>
  <si>
    <t>biscuits sablés</t>
  </si>
  <si>
    <t>framboises</t>
  </si>
  <si>
    <t xml:space="preserve">mozzarella </t>
  </si>
  <si>
    <t>sauce salade</t>
  </si>
  <si>
    <t>Burger de röstis aux légumes grillés</t>
  </si>
  <si>
    <t>purée de tomates</t>
  </si>
  <si>
    <t>herbes de provence</t>
  </si>
  <si>
    <t>1 boîte de champignons (230 g)</t>
  </si>
  <si>
    <t xml:space="preserve">safran </t>
  </si>
  <si>
    <t>huile de tournesol</t>
  </si>
  <si>
    <t>rhum</t>
  </si>
  <si>
    <t>Tarte légère aux pommes</t>
  </si>
  <si>
    <t>2 sachets de sucre vanillé (8g/u)</t>
  </si>
  <si>
    <t>Porc au lait de coco , fusili et choux-fleur</t>
  </si>
  <si>
    <t>porc (noix)</t>
  </si>
  <si>
    <t xml:space="preserve"> crème</t>
  </si>
  <si>
    <t>lait de coco</t>
  </si>
  <si>
    <t xml:space="preserve"> fusili</t>
  </si>
  <si>
    <t>choux-fleur</t>
  </si>
  <si>
    <t xml:space="preserve">pommes golden </t>
  </si>
  <si>
    <t xml:space="preserve">lait </t>
  </si>
  <si>
    <t xml:space="preserve">cannelle en poudre </t>
  </si>
  <si>
    <t xml:space="preserve">médaillons de rösti congelés </t>
  </si>
  <si>
    <t xml:space="preserve">courgette </t>
  </si>
  <si>
    <t xml:space="preserve">huile d’olive </t>
  </si>
  <si>
    <t xml:space="preserve"> poivrons rouges grillé </t>
  </si>
  <si>
    <t xml:space="preserve">Salade asiatique de vermicelles aux crevettes </t>
  </si>
  <si>
    <t xml:space="preserve">Cuisses de lapin sauce moutarde, polenta nera </t>
  </si>
  <si>
    <t>bouillon de viande</t>
  </si>
  <si>
    <t>moutarde forte</t>
  </si>
  <si>
    <t>moutarde douce</t>
  </si>
  <si>
    <t>ail</t>
  </si>
  <si>
    <t xml:space="preserve">nuoc-mâm </t>
  </si>
  <si>
    <t xml:space="preserve">jus de citron vert </t>
  </si>
  <si>
    <t xml:space="preserve">huile de sésame </t>
  </si>
  <si>
    <t xml:space="preserve">piment en poudre </t>
  </si>
  <si>
    <t>Lasagne de la rivière au lac</t>
  </si>
  <si>
    <t>feuilles de lasagne sèches</t>
  </si>
  <si>
    <t>salade de rampon</t>
  </si>
  <si>
    <t xml:space="preserve">Yogourt glacé aux myrtilles </t>
  </si>
  <si>
    <t>crème double</t>
  </si>
  <si>
    <t xml:space="preserve"> bouillon de légumes</t>
  </si>
  <si>
    <t>filets de féra avec peau</t>
  </si>
  <si>
    <t>branches de céleri</t>
  </si>
  <si>
    <t xml:space="preserve"> vin blanc</t>
  </si>
  <si>
    <t xml:space="preserve">aïl des ours </t>
  </si>
  <si>
    <t>amandes effilées</t>
  </si>
  <si>
    <t>myrtilles congelées</t>
  </si>
  <si>
    <t>yougourt grec</t>
  </si>
  <si>
    <t>jus de citron</t>
  </si>
  <si>
    <t>meringues de Gruyères</t>
  </si>
  <si>
    <t xml:space="preserve"> raisins blanc</t>
  </si>
  <si>
    <t>mélange de légumes asiatiques</t>
  </si>
  <si>
    <t xml:space="preserve">coriandre </t>
  </si>
  <si>
    <t xml:space="preserve">échalottes </t>
  </si>
  <si>
    <t>vermicelles de riz</t>
  </si>
  <si>
    <t xml:space="preserve">crevettes crues décortiquées </t>
  </si>
  <si>
    <t>Pizza aux courgettes et au lard</t>
  </si>
  <si>
    <t>Mousse de fromage blanc aux framboises </t>
  </si>
  <si>
    <t xml:space="preserve">boudoirs </t>
  </si>
  <si>
    <t>blanc d’œuf</t>
  </si>
  <si>
    <t xml:space="preserve"> lapin </t>
  </si>
  <si>
    <t xml:space="preserve">oignons blancs de conserve </t>
  </si>
  <si>
    <t xml:space="preserve">champignons de Paris </t>
  </si>
  <si>
    <t>polenta nera</t>
  </si>
  <si>
    <t>épinards cuits</t>
  </si>
  <si>
    <t>pâte à pizza</t>
  </si>
  <si>
    <t>concentré tomate</t>
  </si>
  <si>
    <t xml:space="preserve">’huile d'olive </t>
  </si>
  <si>
    <t xml:space="preserve">tomates </t>
  </si>
  <si>
    <t xml:space="preserve"> fromage blanc 40% </t>
  </si>
  <si>
    <t>Betteraves et pommes de terre façon raclette</t>
  </si>
  <si>
    <t>salade pommée</t>
  </si>
  <si>
    <t>sauce au yogourt (sans huile)</t>
  </si>
  <si>
    <t>Dorade à la purée de laitue et d'oseille</t>
  </si>
  <si>
    <t>thym séché</t>
  </si>
  <si>
    <t xml:space="preserve">huile d’olive  </t>
  </si>
  <si>
    <t xml:space="preserve">farine </t>
  </si>
  <si>
    <t>filet de dorade</t>
  </si>
  <si>
    <t>laitues</t>
  </si>
  <si>
    <t>oseille</t>
  </si>
  <si>
    <t>riz basmati</t>
  </si>
  <si>
    <t xml:space="preserve">pommes de terre </t>
  </si>
  <si>
    <t>betteraves rouges</t>
  </si>
  <si>
    <t xml:space="preserve">fromage à raclette </t>
  </si>
  <si>
    <t>sauce à salade</t>
  </si>
  <si>
    <t>salade italienne</t>
  </si>
  <si>
    <t>Gratin de pâtes au safran et aux bolets</t>
  </si>
  <si>
    <t>Brochettes de poulet au couscous</t>
  </si>
  <si>
    <t>jus d'orange</t>
  </si>
  <si>
    <t>eau de fleur d’oranger</t>
  </si>
  <si>
    <t>Mousse d'orange</t>
  </si>
  <si>
    <t>baton de glace enrobé de chocolat (75 g)</t>
  </si>
  <si>
    <t xml:space="preserve">sucre en poudre </t>
  </si>
  <si>
    <t>blancs de poulet</t>
  </si>
  <si>
    <t xml:space="preserve">paprika </t>
  </si>
  <si>
    <t xml:space="preserve">cumin en grains </t>
  </si>
  <si>
    <t>haricots rouges en boîte</t>
  </si>
  <si>
    <t>semoule de couscous (sec)</t>
  </si>
  <si>
    <t xml:space="preserve"> raisins secs sultine</t>
  </si>
  <si>
    <t>échalotes</t>
  </si>
  <si>
    <t>pâtes papillons</t>
  </si>
  <si>
    <t>bolets séchés réhydratés</t>
  </si>
  <si>
    <t xml:space="preserve"> safran</t>
  </si>
  <si>
    <t>gruyère râpé</t>
  </si>
  <si>
    <t>Choucroute de poisson neptune crème au cerfeuil</t>
  </si>
  <si>
    <t>Gratin de poireau et lentilles rouges</t>
  </si>
  <si>
    <t>4 œufs</t>
  </si>
  <si>
    <t>300 g de carottes</t>
  </si>
  <si>
    <t>sauce salade française</t>
  </si>
  <si>
    <t>huile de pépin de raisin</t>
  </si>
  <si>
    <t>Tartelette de vermicelles à la crème de marron</t>
  </si>
  <si>
    <t>Emincé de veau à la zurichoise avec ses röstis</t>
  </si>
  <si>
    <t>Omelette au poivron et mozzarella</t>
  </si>
  <si>
    <t>salade de laitue</t>
  </si>
  <si>
    <t>poivre noir en grains</t>
  </si>
  <si>
    <t>Panna cotta au lime et compote de pêches</t>
  </si>
  <si>
    <t xml:space="preserve"> lait écrémé</t>
  </si>
  <si>
    <t>gélatine</t>
  </si>
  <si>
    <t>citron vert)</t>
  </si>
  <si>
    <t>pêche blanche</t>
  </si>
  <si>
    <t>pêche jaune</t>
  </si>
  <si>
    <t xml:space="preserve"> veau émincé</t>
  </si>
  <si>
    <t>rognons de veau</t>
  </si>
  <si>
    <t>condiment en poudre</t>
  </si>
  <si>
    <t xml:space="preserve">oignon </t>
  </si>
  <si>
    <t>bouillon</t>
  </si>
  <si>
    <t>mozzarella</t>
  </si>
  <si>
    <t>poivrons</t>
  </si>
  <si>
    <t>Côtes d'agneau et légumes toutes saveurs</t>
  </si>
  <si>
    <t>10 g de romarin</t>
  </si>
  <si>
    <t>Spaghetti aux calamars</t>
  </si>
  <si>
    <t>Gâteau confit de pommes</t>
  </si>
  <si>
    <t>2 kiwis</t>
  </si>
  <si>
    <t>nougat glacé</t>
  </si>
  <si>
    <t>pommes golden</t>
  </si>
  <si>
    <t>crème anglaise</t>
  </si>
  <si>
    <t>côtelettes d’agneau)</t>
  </si>
  <si>
    <t>haricots verts</t>
  </si>
  <si>
    <t>aubergines</t>
  </si>
  <si>
    <t>huile d'olive,</t>
  </si>
  <si>
    <t>spaghetti</t>
  </si>
  <si>
    <t>petits calamars</t>
  </si>
  <si>
    <t>c</t>
  </si>
  <si>
    <t>e</t>
  </si>
  <si>
    <t>b</t>
  </si>
  <si>
    <t>a</t>
  </si>
  <si>
    <t>d</t>
  </si>
  <si>
    <t>JOURNEE 1</t>
  </si>
  <si>
    <t>&lt;&lt;&lt;&lt;&lt;&lt;&lt;</t>
  </si>
  <si>
    <t>La différence est donc minime. Plutôt que de vous astreindre à un régime, fut-il modéré et équilibré, ne préfériez-vous pas très légèrement limiter les aliments les plus caloriques ou/et bouger un peu plus? Cela devrait suffire…</t>
  </si>
  <si>
    <t>La différence est donc minime. Continuez comme cela et laissez tomber l'idée d'un régime visiblement inutile, fut-il modéré et équilibré…</t>
  </si>
  <si>
    <t>&lt;0</t>
  </si>
  <si>
    <t>&gt; 0</t>
  </si>
  <si>
    <t>&gt;50</t>
  </si>
  <si>
    <t>&lt;-50</t>
  </si>
  <si>
    <t>Quelle précision! Vos objectifs correspondent parfaitement à votre programme journalier. Il n'y a donc plus qu'à l'exécuter, sans rien changer à nos menus.</t>
  </si>
  <si>
    <t>Si vous vous buvez un verre de vin par jour, votre objectif ne devrait pas descendre au-dessous de 1600 kcal/jour. Si vous  buvez deux verres de vin, il ne devrait pas descendre au-dessous de 1700 kcal par jour</t>
  </si>
  <si>
    <t>JOURNEE 2</t>
  </si>
  <si>
    <t>Journée 1</t>
  </si>
  <si>
    <t>Journée 3</t>
  </si>
  <si>
    <t>Journée 4</t>
  </si>
  <si>
    <t>Journée 5</t>
  </si>
  <si>
    <t>Journée 6</t>
  </si>
  <si>
    <t>Journée 7</t>
  </si>
  <si>
    <t>JOURNEE 6</t>
  </si>
  <si>
    <t>2 bâtons de canelle</t>
  </si>
  <si>
    <t>Journée 8</t>
  </si>
  <si>
    <t>lait partiellement écrémé</t>
  </si>
  <si>
    <t>JOURNEE 8</t>
  </si>
  <si>
    <t>Journée 9</t>
  </si>
  <si>
    <t>JOURNEE 9</t>
  </si>
  <si>
    <t xml:space="preserve"> échalottes</t>
  </si>
  <si>
    <t>flocons d'avoine</t>
  </si>
  <si>
    <t>oeuf</t>
  </si>
  <si>
    <t>ail en poudre</t>
  </si>
  <si>
    <t>curcuma</t>
  </si>
  <si>
    <t>piment doux</t>
  </si>
  <si>
    <t>roquette (</t>
  </si>
  <si>
    <t>mesclun (</t>
  </si>
  <si>
    <t xml:space="preserve">tomates cerises </t>
  </si>
  <si>
    <t> pommes</t>
  </si>
  <si>
    <t xml:space="preserve"> cannelle</t>
  </si>
  <si>
    <t>noisettes grillées</t>
  </si>
  <si>
    <t>tomme (vache)</t>
  </si>
  <si>
    <t>Saint-Nectaire</t>
  </si>
  <si>
    <t>lard fumé</t>
  </si>
  <si>
    <t>lotte</t>
  </si>
  <si>
    <t>Armagnac</t>
  </si>
  <si>
    <t xml:space="preserve">échalotes </t>
  </si>
  <si>
    <t>céleri-branche</t>
  </si>
  <si>
    <t>Journée 10</t>
  </si>
  <si>
    <t xml:space="preserve"> tomates concasséesen boîte</t>
  </si>
  <si>
    <t>chou rouge</t>
  </si>
  <si>
    <t>estragon</t>
  </si>
  <si>
    <t>orange sanguine</t>
  </si>
  <si>
    <t>cuisses de poulet (chair)</t>
  </si>
  <si>
    <t>bouquet garni</t>
  </si>
  <si>
    <t>ricotta </t>
  </si>
  <si>
    <t>Journée 11</t>
  </si>
  <si>
    <t>JOURNEE 11</t>
  </si>
  <si>
    <t>Journée 12</t>
  </si>
  <si>
    <t>JOURNEE 12</t>
  </si>
  <si>
    <t>Journée 13</t>
  </si>
  <si>
    <t>Journée 14</t>
  </si>
  <si>
    <t>Journée 15</t>
  </si>
  <si>
    <t>Journée 16</t>
  </si>
  <si>
    <t>Galettes de pommes de terre au Gruyères</t>
  </si>
  <si>
    <t>Journée 17</t>
  </si>
  <si>
    <t>tomates en boîte</t>
  </si>
  <si>
    <t>Journée 18</t>
  </si>
  <si>
    <t>JOURNEE 18</t>
  </si>
  <si>
    <t>JOURNEE 17</t>
  </si>
  <si>
    <t>JOURNEE 16</t>
  </si>
  <si>
    <t>JOURNEE 15</t>
  </si>
  <si>
    <t>JOURNEE 14</t>
  </si>
  <si>
    <t>JOURNEE 13</t>
  </si>
  <si>
    <t>JOURNEE 10</t>
  </si>
  <si>
    <t>JOURNEE 7</t>
  </si>
  <si>
    <t>JOURNEE 5</t>
  </si>
  <si>
    <t>JOURNEE 4</t>
  </si>
  <si>
    <t>JOURNEE 3</t>
  </si>
  <si>
    <t xml:space="preserve">sirop de rose </t>
  </si>
  <si>
    <t>Journée 19</t>
  </si>
  <si>
    <t>Journée 20</t>
  </si>
  <si>
    <t>Journée 21</t>
  </si>
  <si>
    <t>JOURNEE 21</t>
  </si>
  <si>
    <t>Journée 22</t>
  </si>
  <si>
    <t>Journée 23</t>
  </si>
  <si>
    <t>Journée 24</t>
  </si>
  <si>
    <t>JOURNEE 24</t>
  </si>
  <si>
    <t>JOURNEE 23</t>
  </si>
  <si>
    <t>JOURNEE 22</t>
  </si>
  <si>
    <t>Journée 25</t>
  </si>
  <si>
    <t>Journée 27</t>
  </si>
  <si>
    <t>JOURNEE 26</t>
  </si>
  <si>
    <t>JOURNEE 25</t>
  </si>
  <si>
    <t>JOURNEE 27</t>
  </si>
  <si>
    <t>Journée 28</t>
  </si>
  <si>
    <t>Journée 2</t>
  </si>
  <si>
    <t>Journée 26</t>
  </si>
  <si>
    <t>kg en 14 jours</t>
  </si>
  <si>
    <t>EN MOYENNE</t>
  </si>
  <si>
    <t xml:space="preserve">énergétique a donc été de </t>
  </si>
  <si>
    <t xml:space="preserve"> et elle vous a fait</t>
  </si>
  <si>
    <t xml:space="preserve">ce qui correspond à </t>
  </si>
  <si>
    <t>kcal/jour*</t>
  </si>
  <si>
    <t>Sans tenir compte de l'alcool et des activités physiques hors routine, votre consommation</t>
  </si>
  <si>
    <t>l'apport calorique</t>
  </si>
  <si>
    <t>de votre alimentation de</t>
  </si>
  <si>
    <t xml:space="preserve">Si c'est votre but, il se monterait alors à </t>
  </si>
  <si>
    <t>&gt; vous avez mangé l'équivalent de</t>
  </si>
  <si>
    <t>&gt; vous avez bu l'équivalent de</t>
  </si>
  <si>
    <t>kcal/jour sous forme d'alcool</t>
  </si>
  <si>
    <t>votre alimentationt ne devrait pas dépasser</t>
  </si>
  <si>
    <t>kg en un mois.</t>
  </si>
  <si>
    <t xml:space="preserve">&gt; vous avez dépensé (activités phys. ponctuelles) </t>
  </si>
  <si>
    <t>Pour stabiliser votre poids, vous devriez donc</t>
  </si>
  <si>
    <t>Si vous souhaitez aussi perdre</t>
  </si>
  <si>
    <t>lard</t>
  </si>
  <si>
    <t>blé Ebly cuit</t>
  </si>
  <si>
    <t>entrecôte</t>
  </si>
  <si>
    <t>choucroute cuite</t>
  </si>
  <si>
    <t>filet de cabillaud</t>
  </si>
  <si>
    <t>filet de saumon</t>
  </si>
  <si>
    <t>filet de truite fumée</t>
  </si>
  <si>
    <t>grosses crevettes décortiquées</t>
  </si>
  <si>
    <t xml:space="preserve">cerfeuil </t>
  </si>
  <si>
    <t>poudre de noisette</t>
  </si>
  <si>
    <t>purée de châtaigne</t>
  </si>
  <si>
    <t xml:space="preserve"> lentilles rouges</t>
  </si>
  <si>
    <t>crème 30%</t>
  </si>
  <si>
    <t>(1,1 dl)</t>
  </si>
  <si>
    <t>(2,2 dl)</t>
  </si>
  <si>
    <t>classique</t>
  </si>
  <si>
    <t>avec œuf</t>
  </si>
  <si>
    <t>céréales</t>
  </si>
  <si>
    <t>PETIT
DEJEUNER</t>
  </si>
  <si>
    <t>GOÛTER</t>
  </si>
  <si>
    <t>DESSERT</t>
  </si>
  <si>
    <t>repas sans viande ni poisson</t>
  </si>
  <si>
    <t>repas avec poisson</t>
  </si>
  <si>
    <t>repas avec viande</t>
  </si>
  <si>
    <r>
      <t xml:space="preserve">L’estimation, bien plus précise que la formule approximative de Blank*, se fonde sur 14 jours d’observation de votre alimentation et de vos activités physiques.
</t>
    </r>
    <r>
      <rPr>
        <sz val="12"/>
        <color rgb="FFFF6600"/>
        <rFont val="Calibri"/>
        <scheme val="minor"/>
      </rPr>
      <t xml:space="preserve">Instruisez toutes les cellules oranges </t>
    </r>
    <r>
      <rPr>
        <sz val="12"/>
        <rFont val="Calibri"/>
        <scheme val="minor"/>
      </rPr>
      <t>(si vous n'indiquez rien, la valeur retenue est égale à 0).</t>
    </r>
    <r>
      <rPr>
        <sz val="12"/>
        <color theme="1"/>
        <rFont val="Calibri"/>
        <family val="2"/>
        <scheme val="minor"/>
      </rPr>
      <t xml:space="preserve">
1) Notez, le matin du premier jour, la date et votre poids à jeun.
2) Puis, chaque jour, notez, dans la colonne «Alimentation» la quantité de calories que contenait votre alimentation. Pour la mesurer, utilisez notre calculateur «Bilan journalier»*.
3) Ajoutez votre éventuelle consommation d’alcool, exprimée en dl. Un verre de vin représente environ 1,25 dl, un cognac ou une eau de vie entre 0,2 et 0,4 dl.* 
4) Notez également le nombre de pas effectués lors vos déplacement réguliers, ceux que vous faites inévitablement (par exemple lors du trajet domicile-travail aller et retour), mais pas ceux que vous faites exceptionnellement (voir point suivant). Pour ce faire, utilisez un podomètre*.
5) Notez aussi les dépenses énergétiques dues à des activités physiques ponctuelles (marche hors routine, footing, vélo, fitness, etc.). Elles dépendent non seulement de l’activité pratiquée, mais aussi de votre poids. Pour les mesurer, utilisez notre calculateur «Dépenses énergétiques»*.
</t>
    </r>
  </si>
  <si>
    <t>6) En fin de bilan, notez votre poids, toujours à jeun, le matin du 15e jour.
Le programme calcule automatiquement votre consommation énergétique moyenne et ce que vous devriez stocker en moins ou en plus pour maintenir votre poids.
Vous pouvez aussi indiquer si vous souhaitez perdre du poids (entre 1 et 2 kilos) dans le mois à venir et le programme estimera quel doit être, à cette fin, l’apport calorique journalier à ne pas dépasser. Ce résultat est automatiquement reporté (sans possibilité de modification) dans les pages suivantes.
Attention: dans un premier temps, les estimations pour maintenir ou perdre du poids ne tiennent pas compte de la consommation d'alcool et des activités physiques. Ne vous inquiétez pas: lors de la phase d'action, vous aurez l'occasion de les intégrer dans chaque bilan journalier, comme vous le verrez dans les feuille suivantes.</t>
  </si>
  <si>
    <t>* Retrouvez les calculateurs sous www.bonasavoir.ch/panmetron</t>
  </si>
  <si>
    <t>sous www.bonasavoir.ch/panmetron</t>
  </si>
  <si>
    <t>&lt;&lt;&lt;&lt;</t>
  </si>
  <si>
    <t>JOURNEE 19</t>
  </si>
  <si>
    <t>JOURNEE 20</t>
  </si>
  <si>
    <t>JOURNEE 28</t>
  </si>
  <si>
    <t>attention: utiliser les barres transversales!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</si>
</sst>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0.00\ &quot;CHF&quot;_);[Red]\(#,##0.00\ &quot;CHF&quot;\)"/>
    <numFmt numFmtId="164" formatCode="0.0"/>
    <numFmt numFmtId="165" formatCode="#,##0.0"/>
    <numFmt numFmtId="166" formatCode="dd/mm/yy;@"/>
    <numFmt numFmtId="167" formatCode="0.000"/>
    <numFmt numFmtId="168" formatCode="dd\.mm\.yy;@"/>
  </numFmts>
  <fonts count="34" x14ac:knownFonts="1">
    <font>
      <sz val="12"/>
      <color theme="1"/>
      <name val="Calibri"/>
      <family val="2"/>
      <scheme val="minor"/>
    </font>
    <font>
      <sz val="12"/>
      <color rgb="FFFF0000"/>
      <name val="Calibri"/>
      <family val="2"/>
      <scheme val="minor"/>
    </font>
    <font>
      <u/>
      <sz val="12"/>
      <color theme="10"/>
      <name val="Calibri"/>
      <family val="2"/>
      <scheme val="minor"/>
    </font>
    <font>
      <u/>
      <sz val="12"/>
      <color theme="11"/>
      <name val="Calibri"/>
      <family val="2"/>
      <scheme val="minor"/>
    </font>
    <font>
      <i/>
      <sz val="12"/>
      <color theme="1"/>
      <name val="Calibri"/>
      <scheme val="minor"/>
    </font>
    <font>
      <sz val="12"/>
      <name val="Calibri"/>
      <scheme val="minor"/>
    </font>
    <font>
      <b/>
      <sz val="12"/>
      <color theme="1"/>
      <name val="Calibri"/>
      <family val="2"/>
      <scheme val="minor"/>
    </font>
    <font>
      <sz val="12"/>
      <color theme="9" tint="-0.249977111117893"/>
      <name val="Calibri"/>
      <scheme val="minor"/>
    </font>
    <font>
      <sz val="12"/>
      <color theme="0"/>
      <name val="Calibri"/>
      <family val="2"/>
      <scheme val="minor"/>
    </font>
    <font>
      <b/>
      <sz val="15"/>
      <color theme="0"/>
      <name val="Calibri"/>
      <scheme val="minor"/>
    </font>
    <font>
      <sz val="12"/>
      <color theme="0" tint="-0.499984740745262"/>
      <name val="Calibri"/>
      <scheme val="minor"/>
    </font>
    <font>
      <b/>
      <sz val="12"/>
      <name val="Calibri"/>
      <scheme val="minor"/>
    </font>
    <font>
      <sz val="12"/>
      <color rgb="FFFF0000"/>
      <name val="Calibri"/>
      <family val="2"/>
    </font>
    <font>
      <b/>
      <sz val="12"/>
      <name val="Calibri"/>
    </font>
    <font>
      <b/>
      <sz val="14"/>
      <color theme="0"/>
      <name val="Calibri"/>
      <scheme val="minor"/>
    </font>
    <font>
      <b/>
      <sz val="12"/>
      <color rgb="FFFF0000"/>
      <name val="Calibri"/>
      <scheme val="minor"/>
    </font>
    <font>
      <sz val="12"/>
      <color rgb="FFFF6600"/>
      <name val="Calibri"/>
      <scheme val="minor"/>
    </font>
    <font>
      <b/>
      <sz val="15"/>
      <color rgb="FF0000FF"/>
      <name val="Calibri"/>
      <scheme val="minor"/>
    </font>
    <font>
      <u/>
      <sz val="15"/>
      <color theme="10"/>
      <name val="Calibri"/>
      <scheme val="minor"/>
    </font>
    <font>
      <sz val="12"/>
      <color theme="0" tint="-0.14999847407452621"/>
      <name val="Calibri"/>
      <scheme val="minor"/>
    </font>
    <font>
      <sz val="12"/>
      <color rgb="FFCCFFCC"/>
      <name val="Calibri"/>
      <scheme val="minor"/>
    </font>
    <font>
      <b/>
      <sz val="12"/>
      <color theme="0"/>
      <name val="Calibri"/>
      <family val="2"/>
      <scheme val="minor"/>
    </font>
    <font>
      <sz val="8"/>
      <name val="Calibri"/>
      <family val="2"/>
      <scheme val="minor"/>
    </font>
    <font>
      <b/>
      <sz val="15"/>
      <color rgb="FFFFFF00"/>
      <name val="Calibri"/>
      <scheme val="minor"/>
    </font>
    <font>
      <sz val="12"/>
      <color rgb="FF000000"/>
      <name val="Calibri"/>
      <family val="2"/>
      <scheme val="minor"/>
    </font>
    <font>
      <sz val="12"/>
      <color rgb="FFFFFFFF"/>
      <name val="Calibri"/>
      <family val="2"/>
      <scheme val="minor"/>
    </font>
    <font>
      <b/>
      <sz val="12"/>
      <color rgb="FF000000"/>
      <name val="Calibri"/>
      <family val="2"/>
      <scheme val="minor"/>
    </font>
    <font>
      <i/>
      <sz val="12"/>
      <name val="Calibri"/>
      <scheme val="minor"/>
    </font>
    <font>
      <sz val="12"/>
      <color rgb="FF0000FF"/>
      <name val="Calibri"/>
      <scheme val="minor"/>
    </font>
    <font>
      <b/>
      <sz val="18"/>
      <color theme="0"/>
      <name val="Calibri"/>
      <scheme val="minor"/>
    </font>
    <font>
      <b/>
      <sz val="14"/>
      <color theme="1"/>
      <name val="Calibri"/>
      <scheme val="minor"/>
    </font>
    <font>
      <sz val="14"/>
      <color theme="1"/>
      <name val="Calibri"/>
      <scheme val="minor"/>
    </font>
    <font>
      <i/>
      <sz val="14"/>
      <color theme="1"/>
      <name val="Calibri"/>
      <scheme val="minor"/>
    </font>
    <font>
      <i/>
      <sz val="12"/>
      <color rgb="FF000000"/>
      <name val="Calibri"/>
      <scheme val="minor"/>
    </font>
  </fonts>
  <fills count="30">
    <fill>
      <patternFill patternType="none"/>
    </fill>
    <fill>
      <patternFill patternType="gray125"/>
    </fill>
    <fill>
      <patternFill patternType="solid">
        <fgColor rgb="FFFFFF00"/>
        <bgColor indexed="64"/>
      </patternFill>
    </fill>
    <fill>
      <patternFill patternType="solid">
        <fgColor rgb="FFCCFFCC"/>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rgb="FF008000"/>
        <bgColor indexed="64"/>
      </patternFill>
    </fill>
    <fill>
      <patternFill patternType="solid">
        <fgColor rgb="FFFF0000"/>
        <bgColor indexed="64"/>
      </patternFill>
    </fill>
    <fill>
      <patternFill patternType="solid">
        <fgColor rgb="FFFF6600"/>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9" tint="0.79998168889431442"/>
        <bgColor indexed="64"/>
      </patternFill>
    </fill>
    <fill>
      <patternFill patternType="solid">
        <fgColor theme="3" tint="-0.249977111117893"/>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FFFF00"/>
        <bgColor rgb="FF000000"/>
      </patternFill>
    </fill>
    <fill>
      <patternFill patternType="solid">
        <fgColor rgb="FFB8CCE4"/>
        <bgColor rgb="FF000000"/>
      </patternFill>
    </fill>
    <fill>
      <patternFill patternType="solid">
        <fgColor rgb="FF008000"/>
        <bgColor rgb="FF000000"/>
      </patternFill>
    </fill>
    <fill>
      <patternFill patternType="solid">
        <fgColor rgb="FFFFFFFF"/>
        <bgColor rgb="FF000000"/>
      </patternFill>
    </fill>
    <fill>
      <patternFill patternType="solid">
        <fgColor rgb="FFFDE9D9"/>
        <bgColor rgb="FF000000"/>
      </patternFill>
    </fill>
    <fill>
      <patternFill patternType="solid">
        <fgColor rgb="FFBFBFBF"/>
        <bgColor rgb="FF000000"/>
      </patternFill>
    </fill>
    <fill>
      <patternFill patternType="solid">
        <fgColor rgb="FFFF0000"/>
        <bgColor rgb="FF000000"/>
      </patternFill>
    </fill>
    <fill>
      <patternFill patternType="solid">
        <fgColor rgb="FFCCFFCC"/>
        <bgColor rgb="FF000000"/>
      </patternFill>
    </fill>
    <fill>
      <patternFill patternType="solid">
        <fgColor rgb="FFD9D9D9"/>
        <bgColor rgb="FF000000"/>
      </patternFill>
    </fill>
    <fill>
      <patternFill patternType="solid">
        <fgColor theme="5" tint="0.79998168889431442"/>
        <bgColor indexed="64"/>
      </patternFill>
    </fill>
    <fill>
      <patternFill patternType="solid">
        <fgColor theme="8" tint="0.59999389629810485"/>
        <bgColor indexed="64"/>
      </patternFill>
    </fill>
  </fills>
  <borders count="24">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diagonal/>
    </border>
    <border>
      <left style="double">
        <color auto="1"/>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style="double">
        <color auto="1"/>
      </left>
      <right style="thin">
        <color auto="1"/>
      </right>
      <top/>
      <bottom/>
      <diagonal/>
    </border>
    <border>
      <left style="double">
        <color auto="1"/>
      </left>
      <right style="double">
        <color auto="1"/>
      </right>
      <top style="thin">
        <color auto="1"/>
      </top>
      <bottom/>
      <diagonal/>
    </border>
    <border>
      <left style="double">
        <color auto="1"/>
      </left>
      <right style="double">
        <color auto="1"/>
      </right>
      <top/>
      <bottom/>
      <diagonal/>
    </border>
  </borders>
  <cellStyleXfs count="890">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cellStyleXfs>
  <cellXfs count="512">
    <xf numFmtId="0" fontId="0" fillId="0" borderId="0" xfId="0"/>
    <xf numFmtId="0" fontId="0" fillId="0" borderId="2" xfId="0" applyBorder="1"/>
    <xf numFmtId="0" fontId="0" fillId="0" borderId="1" xfId="0" applyBorder="1"/>
    <xf numFmtId="0" fontId="0" fillId="4" borderId="0" xfId="0" applyFill="1"/>
    <xf numFmtId="0" fontId="0" fillId="0" borderId="0" xfId="0" applyBorder="1"/>
    <xf numFmtId="0" fontId="0" fillId="0" borderId="0" xfId="0" applyAlignment="1">
      <alignment horizontal="left"/>
    </xf>
    <xf numFmtId="0" fontId="0" fillId="0" borderId="4" xfId="0" applyBorder="1"/>
    <xf numFmtId="0" fontId="0" fillId="0" borderId="6" xfId="0" applyBorder="1"/>
    <xf numFmtId="0" fontId="0" fillId="4" borderId="5" xfId="0" applyFill="1" applyBorder="1" applyAlignment="1">
      <alignment horizontal="right"/>
    </xf>
    <xf numFmtId="0" fontId="0" fillId="4" borderId="5" xfId="0" applyFill="1" applyBorder="1"/>
    <xf numFmtId="0" fontId="0" fillId="4" borderId="6" xfId="0" applyFill="1" applyBorder="1"/>
    <xf numFmtId="0" fontId="1" fillId="4" borderId="3" xfId="0" applyFont="1" applyFill="1" applyBorder="1"/>
    <xf numFmtId="0" fontId="0" fillId="4" borderId="13" xfId="0" applyFill="1" applyBorder="1"/>
    <xf numFmtId="0" fontId="0" fillId="4" borderId="14" xfId="0" applyFill="1" applyBorder="1"/>
    <xf numFmtId="0" fontId="1" fillId="4" borderId="12" xfId="0" applyFont="1" applyFill="1" applyBorder="1"/>
    <xf numFmtId="3" fontId="5" fillId="5" borderId="1" xfId="0" applyNumberFormat="1" applyFont="1" applyFill="1" applyBorder="1"/>
    <xf numFmtId="0" fontId="0" fillId="11" borderId="0" xfId="0" applyFill="1" applyAlignment="1">
      <alignment horizontal="left"/>
    </xf>
    <xf numFmtId="0" fontId="0" fillId="11" borderId="0" xfId="0" applyFill="1"/>
    <xf numFmtId="0" fontId="0" fillId="11" borderId="0" xfId="0" applyFill="1" applyAlignment="1">
      <alignment horizontal="right"/>
    </xf>
    <xf numFmtId="3" fontId="5" fillId="11" borderId="0" xfId="0" applyNumberFormat="1" applyFont="1" applyFill="1" applyBorder="1"/>
    <xf numFmtId="0" fontId="0" fillId="11" borderId="0" xfId="0" applyFill="1" applyAlignment="1">
      <alignment horizontal="left" vertical="center"/>
    </xf>
    <xf numFmtId="0" fontId="6" fillId="11" borderId="0" xfId="0" applyFont="1" applyFill="1" applyAlignment="1">
      <alignment horizontal="left"/>
    </xf>
    <xf numFmtId="0" fontId="5" fillId="11" borderId="0" xfId="0" applyFont="1" applyFill="1" applyAlignment="1">
      <alignment horizontal="left" vertical="center" wrapText="1"/>
    </xf>
    <xf numFmtId="1" fontId="5" fillId="5" borderId="1" xfId="0" applyNumberFormat="1" applyFont="1" applyFill="1" applyBorder="1" applyAlignment="1">
      <alignment horizontal="right"/>
    </xf>
    <xf numFmtId="0" fontId="4" fillId="11" borderId="0" xfId="0" applyFont="1" applyFill="1" applyAlignment="1">
      <alignment horizontal="left"/>
    </xf>
    <xf numFmtId="1" fontId="5" fillId="11" borderId="0" xfId="0" applyNumberFormat="1" applyFont="1" applyFill="1" applyBorder="1" applyAlignment="1">
      <alignment horizontal="right"/>
    </xf>
    <xf numFmtId="0" fontId="5" fillId="11" borderId="3" xfId="0" applyFont="1" applyFill="1" applyBorder="1" applyAlignment="1">
      <alignment horizontal="left"/>
    </xf>
    <xf numFmtId="0" fontId="0" fillId="11" borderId="15" xfId="0" applyFill="1" applyBorder="1" applyAlignment="1">
      <alignment horizontal="left"/>
    </xf>
    <xf numFmtId="0" fontId="5" fillId="11" borderId="15" xfId="0" applyFont="1" applyFill="1" applyBorder="1"/>
    <xf numFmtId="0" fontId="5" fillId="11" borderId="4" xfId="0" applyFont="1" applyFill="1" applyBorder="1"/>
    <xf numFmtId="0" fontId="5" fillId="11" borderId="5" xfId="0" applyFont="1" applyFill="1" applyBorder="1" applyAlignment="1">
      <alignment horizontal="right"/>
    </xf>
    <xf numFmtId="0" fontId="5" fillId="11" borderId="0" xfId="0" applyFont="1" applyFill="1" applyBorder="1" applyAlignment="1">
      <alignment horizontal="right"/>
    </xf>
    <xf numFmtId="0" fontId="5" fillId="11" borderId="0" xfId="0" applyFont="1" applyFill="1" applyBorder="1" applyAlignment="1">
      <alignment horizontal="left"/>
    </xf>
    <xf numFmtId="0" fontId="5" fillId="11" borderId="0" xfId="0" applyFont="1" applyFill="1" applyBorder="1"/>
    <xf numFmtId="0" fontId="5" fillId="11" borderId="6" xfId="0" applyFont="1" applyFill="1" applyBorder="1"/>
    <xf numFmtId="0" fontId="0" fillId="11" borderId="7" xfId="0" applyFill="1" applyBorder="1" applyAlignment="1">
      <alignment horizontal="left"/>
    </xf>
    <xf numFmtId="0" fontId="0" fillId="11" borderId="2" xfId="0" applyFill="1" applyBorder="1" applyAlignment="1">
      <alignment horizontal="left"/>
    </xf>
    <xf numFmtId="3" fontId="5" fillId="11" borderId="2" xfId="0" applyNumberFormat="1" applyFont="1" applyFill="1" applyBorder="1"/>
    <xf numFmtId="0" fontId="0" fillId="11" borderId="2" xfId="0" applyFill="1" applyBorder="1"/>
    <xf numFmtId="0" fontId="0" fillId="11" borderId="2" xfId="0" applyFill="1" applyBorder="1" applyAlignment="1">
      <alignment horizontal="right"/>
    </xf>
    <xf numFmtId="0" fontId="0" fillId="11" borderId="8" xfId="0" applyFill="1" applyBorder="1"/>
    <xf numFmtId="0" fontId="0" fillId="11" borderId="0" xfId="0" applyFill="1" applyBorder="1" applyAlignment="1">
      <alignment horizontal="left"/>
    </xf>
    <xf numFmtId="0" fontId="0" fillId="11" borderId="0" xfId="0" applyFill="1" applyBorder="1"/>
    <xf numFmtId="0" fontId="0" fillId="11" borderId="0" xfId="0" applyFill="1" applyBorder="1" applyAlignment="1">
      <alignment horizontal="right"/>
    </xf>
    <xf numFmtId="0" fontId="7" fillId="0" borderId="0" xfId="0" applyFont="1" applyFill="1"/>
    <xf numFmtId="1" fontId="7" fillId="0" borderId="0" xfId="0" applyNumberFormat="1" applyFont="1" applyFill="1"/>
    <xf numFmtId="0" fontId="10" fillId="0" borderId="0" xfId="0" applyFont="1" applyFill="1"/>
    <xf numFmtId="0" fontId="10" fillId="0" borderId="0" xfId="0" applyFont="1" applyFill="1" applyAlignment="1">
      <alignment wrapText="1"/>
    </xf>
    <xf numFmtId="0" fontId="0" fillId="12" borderId="1" xfId="0" applyFill="1" applyBorder="1"/>
    <xf numFmtId="1" fontId="0" fillId="5" borderId="1" xfId="0" applyNumberFormat="1" applyFill="1" applyBorder="1" applyAlignment="1">
      <alignment horizontal="right"/>
    </xf>
    <xf numFmtId="0" fontId="0" fillId="2" borderId="1" xfId="0" applyFill="1" applyBorder="1"/>
    <xf numFmtId="1" fontId="0" fillId="0" borderId="1" xfId="0" applyNumberFormat="1" applyBorder="1" applyAlignment="1">
      <alignment horizontal="right"/>
    </xf>
    <xf numFmtId="0" fontId="0" fillId="7" borderId="1" xfId="0" applyFill="1" applyBorder="1"/>
    <xf numFmtId="0" fontId="0" fillId="8" borderId="1" xfId="0" applyFill="1" applyBorder="1"/>
    <xf numFmtId="0" fontId="0" fillId="5" borderId="1" xfId="0" applyFill="1" applyBorder="1"/>
    <xf numFmtId="1" fontId="0" fillId="5" borderId="1" xfId="0" applyNumberFormat="1" applyFill="1" applyBorder="1"/>
    <xf numFmtId="0" fontId="0" fillId="0" borderId="10" xfId="0" applyBorder="1"/>
    <xf numFmtId="0" fontId="8" fillId="13" borderId="9" xfId="0" applyFont="1" applyFill="1" applyBorder="1" applyAlignment="1">
      <alignment horizontal="left" vertical="center"/>
    </xf>
    <xf numFmtId="0" fontId="8" fillId="13" borderId="10" xfId="0" applyFont="1" applyFill="1" applyBorder="1" applyAlignment="1">
      <alignment horizontal="left" vertical="center"/>
    </xf>
    <xf numFmtId="0" fontId="8" fillId="13" borderId="11" xfId="0" applyFont="1" applyFill="1" applyBorder="1" applyAlignment="1">
      <alignment horizontal="left" vertical="center"/>
    </xf>
    <xf numFmtId="0" fontId="8" fillId="10" borderId="9" xfId="0" applyFont="1" applyFill="1" applyBorder="1"/>
    <xf numFmtId="0" fontId="8" fillId="10" borderId="10" xfId="0" applyFont="1" applyFill="1" applyBorder="1" applyAlignment="1">
      <alignment horizontal="left" vertical="center" wrapText="1"/>
    </xf>
    <xf numFmtId="0" fontId="8" fillId="10" borderId="11" xfId="0" applyFont="1" applyFill="1" applyBorder="1" applyAlignment="1">
      <alignment horizontal="left" vertical="center" wrapText="1"/>
    </xf>
    <xf numFmtId="1" fontId="0" fillId="14" borderId="10" xfId="0" applyNumberFormat="1" applyFill="1" applyBorder="1" applyAlignment="1">
      <alignment horizontal="right"/>
    </xf>
    <xf numFmtId="0" fontId="0" fillId="14" borderId="11" xfId="0" applyFill="1" applyBorder="1"/>
    <xf numFmtId="0" fontId="11" fillId="14" borderId="9" xfId="0" applyFont="1" applyFill="1" applyBorder="1"/>
    <xf numFmtId="0" fontId="11" fillId="14" borderId="10" xfId="0" applyFont="1" applyFill="1" applyBorder="1"/>
    <xf numFmtId="0" fontId="11" fillId="14" borderId="11" xfId="0" applyFont="1" applyFill="1" applyBorder="1"/>
    <xf numFmtId="1" fontId="0" fillId="11" borderId="0" xfId="0" applyNumberFormat="1" applyFill="1" applyAlignment="1">
      <alignment horizontal="right"/>
    </xf>
    <xf numFmtId="0" fontId="6" fillId="11" borderId="0" xfId="0" applyFont="1" applyFill="1" applyAlignment="1">
      <alignment horizontal="right"/>
    </xf>
    <xf numFmtId="0" fontId="11" fillId="14" borderId="12" xfId="0" applyFont="1" applyFill="1" applyBorder="1" applyAlignment="1">
      <alignment horizontal="center"/>
    </xf>
    <xf numFmtId="0" fontId="11" fillId="14" borderId="14" xfId="0" applyFont="1" applyFill="1" applyBorder="1" applyAlignment="1">
      <alignment horizontal="center"/>
    </xf>
    <xf numFmtId="0" fontId="11" fillId="14" borderId="7" xfId="0" applyFont="1" applyFill="1" applyBorder="1" applyAlignment="1">
      <alignment horizontal="center"/>
    </xf>
    <xf numFmtId="0" fontId="11" fillId="14" borderId="8" xfId="0" applyFont="1" applyFill="1" applyBorder="1" applyAlignment="1">
      <alignment horizontal="center"/>
    </xf>
    <xf numFmtId="3" fontId="0" fillId="9" borderId="1" xfId="0" applyNumberFormat="1" applyFill="1" applyBorder="1"/>
    <xf numFmtId="0" fontId="0" fillId="9" borderId="21" xfId="0" applyFill="1" applyBorder="1" applyAlignment="1">
      <alignment horizontal="center"/>
    </xf>
    <xf numFmtId="0" fontId="13" fillId="14" borderId="9" xfId="0" applyFont="1" applyFill="1" applyBorder="1"/>
    <xf numFmtId="14" fontId="0" fillId="14" borderId="10" xfId="0" applyNumberFormat="1" applyFill="1" applyBorder="1"/>
    <xf numFmtId="3" fontId="0" fillId="14" borderId="11" xfId="0" applyNumberFormat="1" applyFill="1" applyBorder="1"/>
    <xf numFmtId="0" fontId="15" fillId="0" borderId="0" xfId="0" applyFont="1"/>
    <xf numFmtId="0" fontId="0" fillId="0" borderId="8" xfId="0" applyBorder="1"/>
    <xf numFmtId="0" fontId="0" fillId="4" borderId="3" xfId="0" applyFill="1" applyBorder="1"/>
    <xf numFmtId="0" fontId="15" fillId="4" borderId="4" xfId="0" applyFont="1" applyFill="1" applyBorder="1"/>
    <xf numFmtId="0" fontId="0" fillId="4" borderId="7" xfId="0" applyFill="1" applyBorder="1"/>
    <xf numFmtId="0" fontId="1" fillId="0" borderId="3" xfId="0" applyFont="1" applyBorder="1"/>
    <xf numFmtId="0" fontId="5" fillId="4" borderId="7" xfId="0" applyFont="1" applyFill="1" applyBorder="1"/>
    <xf numFmtId="3" fontId="0" fillId="11" borderId="0" xfId="0" applyNumberFormat="1" applyFill="1"/>
    <xf numFmtId="3" fontId="0" fillId="11" borderId="15" xfId="0" applyNumberFormat="1" applyFill="1" applyBorder="1"/>
    <xf numFmtId="165" fontId="0" fillId="11" borderId="15" xfId="0" applyNumberFormat="1" applyFill="1" applyBorder="1"/>
    <xf numFmtId="14" fontId="0" fillId="11" borderId="0" xfId="0" applyNumberFormat="1" applyFill="1" applyBorder="1"/>
    <xf numFmtId="0" fontId="11" fillId="9" borderId="3" xfId="0" applyFont="1" applyFill="1" applyBorder="1" applyAlignment="1">
      <alignment horizontal="right"/>
    </xf>
    <xf numFmtId="0" fontId="0" fillId="9" borderId="5" xfId="0" applyFill="1" applyBorder="1" applyAlignment="1">
      <alignment horizontal="center"/>
    </xf>
    <xf numFmtId="0" fontId="11" fillId="9" borderId="4" xfId="0" applyFont="1" applyFill="1" applyBorder="1"/>
    <xf numFmtId="0" fontId="11" fillId="9" borderId="22" xfId="0" applyFont="1" applyFill="1" applyBorder="1" applyAlignment="1">
      <alignment horizontal="center"/>
    </xf>
    <xf numFmtId="0" fontId="0" fillId="9" borderId="23" xfId="0" applyFill="1" applyBorder="1" applyAlignment="1">
      <alignment horizontal="center"/>
    </xf>
    <xf numFmtId="3" fontId="0" fillId="14" borderId="16" xfId="0" applyNumberFormat="1" applyFill="1" applyBorder="1"/>
    <xf numFmtId="3" fontId="0" fillId="14" borderId="18" xfId="0" applyNumberFormat="1" applyFill="1" applyBorder="1" applyAlignment="1">
      <alignment horizontal="left" indent="3"/>
    </xf>
    <xf numFmtId="3" fontId="0" fillId="14" borderId="11" xfId="0" applyNumberFormat="1" applyFill="1" applyBorder="1" applyAlignment="1">
      <alignment horizontal="left"/>
    </xf>
    <xf numFmtId="0" fontId="4" fillId="11" borderId="0" xfId="0" applyFont="1" applyFill="1" applyAlignment="1">
      <alignment horizontal="right"/>
    </xf>
    <xf numFmtId="0" fontId="14" fillId="10" borderId="3" xfId="0" applyFont="1" applyFill="1" applyBorder="1"/>
    <xf numFmtId="0" fontId="0" fillId="10" borderId="15" xfId="0" applyFill="1" applyBorder="1"/>
    <xf numFmtId="0" fontId="0" fillId="10" borderId="4" xfId="0" applyFill="1" applyBorder="1"/>
    <xf numFmtId="3" fontId="0" fillId="11" borderId="4" xfId="0" applyNumberFormat="1" applyFill="1" applyBorder="1"/>
    <xf numFmtId="0" fontId="0" fillId="11" borderId="6" xfId="0" applyFill="1" applyBorder="1"/>
    <xf numFmtId="14" fontId="0" fillId="11" borderId="0" xfId="0" applyNumberFormat="1" applyFill="1"/>
    <xf numFmtId="0" fontId="12" fillId="11" borderId="5" xfId="0" applyFont="1" applyFill="1" applyBorder="1"/>
    <xf numFmtId="0" fontId="4" fillId="11" borderId="0" xfId="0" applyFont="1" applyFill="1" applyBorder="1" applyAlignment="1">
      <alignment horizontal="left"/>
    </xf>
    <xf numFmtId="0" fontId="0" fillId="0" borderId="1" xfId="0" applyFill="1" applyBorder="1"/>
    <xf numFmtId="14" fontId="0" fillId="0" borderId="1" xfId="0" applyNumberFormat="1" applyFill="1" applyBorder="1"/>
    <xf numFmtId="14" fontId="0" fillId="9" borderId="1" xfId="0" applyNumberFormat="1" applyFill="1" applyBorder="1"/>
    <xf numFmtId="0" fontId="9" fillId="10" borderId="3" xfId="0" applyFont="1" applyFill="1" applyBorder="1"/>
    <xf numFmtId="0" fontId="16" fillId="9" borderId="5" xfId="0" applyFont="1" applyFill="1" applyBorder="1" applyAlignment="1">
      <alignment horizontal="center"/>
    </xf>
    <xf numFmtId="0" fontId="1" fillId="9" borderId="8" xfId="0" applyFont="1" applyFill="1" applyBorder="1" applyAlignment="1">
      <alignment horizontal="center"/>
    </xf>
    <xf numFmtId="0" fontId="9" fillId="10" borderId="15" xfId="0" applyFont="1" applyFill="1" applyBorder="1"/>
    <xf numFmtId="0" fontId="9" fillId="10" borderId="4" xfId="0" applyFont="1" applyFill="1" applyBorder="1"/>
    <xf numFmtId="0" fontId="9" fillId="10" borderId="2" xfId="0" applyFont="1" applyFill="1" applyBorder="1"/>
    <xf numFmtId="0" fontId="9" fillId="10" borderId="8" xfId="0" applyFont="1" applyFill="1" applyBorder="1"/>
    <xf numFmtId="0" fontId="0" fillId="0" borderId="0" xfId="0" applyFont="1"/>
    <xf numFmtId="0" fontId="17" fillId="11" borderId="5" xfId="0" applyFont="1" applyFill="1" applyBorder="1" applyAlignment="1">
      <alignment horizontal="right"/>
    </xf>
    <xf numFmtId="0" fontId="9" fillId="10" borderId="9" xfId="0" applyFont="1" applyFill="1" applyBorder="1" applyAlignment="1">
      <alignment horizontal="left"/>
    </xf>
    <xf numFmtId="0" fontId="8" fillId="10" borderId="10" xfId="0" applyFont="1" applyFill="1" applyBorder="1" applyAlignment="1">
      <alignment horizontal="left"/>
    </xf>
    <xf numFmtId="0" fontId="8" fillId="10" borderId="10" xfId="0" applyFont="1" applyFill="1" applyBorder="1"/>
    <xf numFmtId="0" fontId="8" fillId="10" borderId="10" xfId="0" applyFont="1" applyFill="1" applyBorder="1" applyAlignment="1">
      <alignment horizontal="right"/>
    </xf>
    <xf numFmtId="0" fontId="11" fillId="11" borderId="4" xfId="0" applyFont="1" applyFill="1" applyBorder="1" applyAlignment="1">
      <alignment horizontal="right"/>
    </xf>
    <xf numFmtId="0" fontId="1" fillId="0" borderId="0" xfId="0" applyFont="1" applyFill="1" applyAlignment="1">
      <alignment horizontal="left"/>
    </xf>
    <xf numFmtId="0" fontId="0" fillId="0" borderId="13" xfId="0" applyFill="1" applyBorder="1"/>
    <xf numFmtId="0" fontId="11" fillId="14" borderId="4" xfId="0" applyFont="1" applyFill="1" applyBorder="1" applyAlignment="1">
      <alignment horizontal="left"/>
    </xf>
    <xf numFmtId="0" fontId="11" fillId="14" borderId="8" xfId="0" applyFont="1" applyFill="1" applyBorder="1"/>
    <xf numFmtId="1" fontId="0" fillId="11" borderId="0" xfId="0" applyNumberFormat="1" applyFill="1" applyBorder="1" applyAlignment="1">
      <alignment horizontal="right"/>
    </xf>
    <xf numFmtId="1" fontId="1" fillId="11" borderId="0" xfId="0" applyNumberFormat="1" applyFont="1" applyFill="1" applyAlignment="1">
      <alignment horizontal="left"/>
    </xf>
    <xf numFmtId="1" fontId="6" fillId="11" borderId="0" xfId="0" applyNumberFormat="1" applyFont="1" applyFill="1" applyBorder="1" applyAlignment="1">
      <alignment horizontal="right"/>
    </xf>
    <xf numFmtId="0" fontId="6" fillId="11" borderId="15" xfId="0" applyFont="1" applyFill="1" applyBorder="1" applyAlignment="1">
      <alignment horizontal="right"/>
    </xf>
    <xf numFmtId="0" fontId="6" fillId="11" borderId="15" xfId="0" applyFont="1" applyFill="1" applyBorder="1"/>
    <xf numFmtId="0" fontId="5" fillId="11" borderId="15" xfId="0" applyFont="1" applyFill="1" applyBorder="1" applyAlignment="1">
      <alignment horizontal="right"/>
    </xf>
    <xf numFmtId="0" fontId="5" fillId="11" borderId="0" xfId="0" applyFont="1" applyFill="1" applyAlignment="1">
      <alignment horizontal="right" vertical="center" wrapText="1"/>
    </xf>
    <xf numFmtId="1" fontId="0" fillId="3" borderId="1" xfId="0" applyNumberFormat="1" applyFill="1" applyBorder="1" applyAlignment="1">
      <alignment horizontal="right"/>
    </xf>
    <xf numFmtId="0" fontId="0" fillId="0" borderId="0" xfId="0" applyAlignment="1">
      <alignment horizontal="right"/>
    </xf>
    <xf numFmtId="1" fontId="8" fillId="7" borderId="1" xfId="0" applyNumberFormat="1" applyFont="1" applyFill="1" applyBorder="1" applyAlignment="1">
      <alignment horizontal="right"/>
    </xf>
    <xf numFmtId="1" fontId="8" fillId="6" borderId="1" xfId="0" applyNumberFormat="1" applyFont="1" applyFill="1" applyBorder="1" applyAlignment="1">
      <alignment horizontal="right"/>
    </xf>
    <xf numFmtId="1" fontId="5" fillId="2" borderId="1" xfId="0" applyNumberFormat="1" applyFont="1" applyFill="1" applyBorder="1" applyAlignment="1">
      <alignment horizontal="right"/>
    </xf>
    <xf numFmtId="1" fontId="8" fillId="11" borderId="0" xfId="0" applyNumberFormat="1" applyFont="1" applyFill="1" applyBorder="1" applyAlignment="1">
      <alignment horizontal="right"/>
    </xf>
    <xf numFmtId="0" fontId="5" fillId="11" borderId="0" xfId="0" applyFont="1" applyFill="1" applyBorder="1" applyAlignment="1">
      <alignment horizontal="right" vertical="center" wrapText="1"/>
    </xf>
    <xf numFmtId="1" fontId="0" fillId="11" borderId="6" xfId="0" applyNumberFormat="1" applyFill="1" applyBorder="1" applyAlignment="1">
      <alignment horizontal="right"/>
    </xf>
    <xf numFmtId="1" fontId="6" fillId="11" borderId="15" xfId="0" applyNumberFormat="1" applyFont="1" applyFill="1" applyBorder="1" applyAlignment="1">
      <alignment horizontal="right" vertical="center"/>
    </xf>
    <xf numFmtId="1" fontId="5" fillId="17" borderId="1" xfId="0" applyNumberFormat="1" applyFont="1" applyFill="1" applyBorder="1" applyAlignment="1">
      <alignment horizontal="right"/>
    </xf>
    <xf numFmtId="0" fontId="0" fillId="17" borderId="1" xfId="0" applyFill="1" applyBorder="1"/>
    <xf numFmtId="1" fontId="21" fillId="6" borderId="1" xfId="0" applyNumberFormat="1" applyFont="1" applyFill="1" applyBorder="1" applyAlignment="1">
      <alignment horizontal="right"/>
    </xf>
    <xf numFmtId="3" fontId="5" fillId="4" borderId="0" xfId="0" applyNumberFormat="1" applyFont="1" applyFill="1" applyAlignment="1">
      <alignment horizontal="left"/>
    </xf>
    <xf numFmtId="3" fontId="7" fillId="0" borderId="0" xfId="0" applyNumberFormat="1" applyFont="1" applyFill="1"/>
    <xf numFmtId="0" fontId="5" fillId="0" borderId="0" xfId="0" applyFont="1" applyFill="1" applyAlignment="1">
      <alignment horizontal="left"/>
    </xf>
    <xf numFmtId="2" fontId="5" fillId="0" borderId="0" xfId="0" applyNumberFormat="1" applyFont="1" applyFill="1" applyAlignment="1">
      <alignment horizontal="left"/>
    </xf>
    <xf numFmtId="2" fontId="5" fillId="4" borderId="0" xfId="0" applyNumberFormat="1" applyFont="1" applyFill="1" applyAlignment="1">
      <alignment horizontal="left"/>
    </xf>
    <xf numFmtId="0" fontId="10" fillId="4" borderId="0" xfId="0" applyFont="1" applyFill="1" applyAlignment="1">
      <alignment horizontal="left"/>
    </xf>
    <xf numFmtId="164" fontId="0" fillId="5" borderId="1" xfId="0" applyNumberFormat="1" applyFill="1" applyBorder="1" applyAlignment="1">
      <alignment horizontal="right"/>
    </xf>
    <xf numFmtId="0" fontId="1" fillId="11" borderId="0" xfId="0" applyFont="1" applyFill="1" applyAlignment="1">
      <alignment horizontal="left"/>
    </xf>
    <xf numFmtId="0" fontId="1" fillId="11" borderId="0" xfId="0" applyFont="1" applyFill="1" applyAlignment="1">
      <alignment horizontal="left" wrapText="1"/>
    </xf>
    <xf numFmtId="0" fontId="1" fillId="11" borderId="0" xfId="0" applyFont="1" applyFill="1" applyAlignment="1">
      <alignment horizontal="left" vertical="center" wrapText="1"/>
    </xf>
    <xf numFmtId="0" fontId="6" fillId="11" borderId="0" xfId="0" applyFont="1" applyFill="1" applyBorder="1" applyAlignment="1">
      <alignment horizontal="right"/>
    </xf>
    <xf numFmtId="0" fontId="6" fillId="11" borderId="0" xfId="0" applyFont="1" applyFill="1" applyBorder="1"/>
    <xf numFmtId="1" fontId="5" fillId="3" borderId="1" xfId="0" applyNumberFormat="1" applyFont="1" applyFill="1" applyBorder="1" applyAlignment="1">
      <alignment horizontal="right"/>
    </xf>
    <xf numFmtId="1" fontId="11" fillId="3" borderId="1" xfId="0" applyNumberFormat="1" applyFont="1" applyFill="1" applyBorder="1" applyAlignment="1">
      <alignment horizontal="right"/>
    </xf>
    <xf numFmtId="164" fontId="0" fillId="5" borderId="1" xfId="0" applyNumberFormat="1" applyFill="1" applyBorder="1"/>
    <xf numFmtId="0" fontId="0" fillId="0" borderId="11" xfId="0" applyBorder="1"/>
    <xf numFmtId="0" fontId="0" fillId="18" borderId="9" xfId="0" applyFill="1" applyBorder="1"/>
    <xf numFmtId="1" fontId="0" fillId="0" borderId="1" xfId="0" applyNumberFormat="1" applyFill="1" applyBorder="1" applyAlignment="1">
      <alignment horizontal="right"/>
    </xf>
    <xf numFmtId="0" fontId="0" fillId="0" borderId="0" xfId="0" applyFill="1" applyAlignment="1">
      <alignment horizontal="right"/>
    </xf>
    <xf numFmtId="0" fontId="0" fillId="0" borderId="0" xfId="0" applyFill="1" applyBorder="1" applyAlignment="1">
      <alignment horizontal="right"/>
    </xf>
    <xf numFmtId="0" fontId="0" fillId="0" borderId="0" xfId="0" applyFill="1"/>
    <xf numFmtId="0" fontId="0" fillId="0" borderId="15" xfId="0" applyBorder="1"/>
    <xf numFmtId="164" fontId="0" fillId="11" borderId="0" xfId="0" applyNumberFormat="1" applyFill="1" applyAlignment="1">
      <alignment horizontal="right"/>
    </xf>
    <xf numFmtId="2" fontId="0" fillId="11" borderId="0" xfId="0" applyNumberFormat="1" applyFill="1" applyAlignment="1">
      <alignment horizontal="right"/>
    </xf>
    <xf numFmtId="1" fontId="5" fillId="8" borderId="1" xfId="0" applyNumberFormat="1" applyFont="1" applyFill="1" applyBorder="1" applyAlignment="1">
      <alignment horizontal="right"/>
    </xf>
    <xf numFmtId="0" fontId="0" fillId="0" borderId="0" xfId="0" applyAlignment="1">
      <alignment horizontal="center"/>
    </xf>
    <xf numFmtId="0" fontId="5" fillId="7" borderId="1" xfId="0" applyFont="1" applyFill="1" applyBorder="1"/>
    <xf numFmtId="1" fontId="10" fillId="0" borderId="0" xfId="0" applyNumberFormat="1" applyFont="1" applyFill="1"/>
    <xf numFmtId="1" fontId="0" fillId="2" borderId="1" xfId="0" applyNumberFormat="1" applyFill="1" applyBorder="1" applyAlignment="1">
      <alignment horizontal="right"/>
    </xf>
    <xf numFmtId="0" fontId="8" fillId="11" borderId="0" xfId="0" applyFont="1" applyFill="1" applyAlignment="1">
      <alignment horizontal="right"/>
    </xf>
    <xf numFmtId="1" fontId="8" fillId="11" borderId="0" xfId="0" applyNumberFormat="1" applyFont="1" applyFill="1" applyAlignment="1">
      <alignment horizontal="right"/>
    </xf>
    <xf numFmtId="164" fontId="8" fillId="11" borderId="0" xfId="0" applyNumberFormat="1" applyFont="1" applyFill="1" applyAlignment="1">
      <alignment horizontal="right"/>
    </xf>
    <xf numFmtId="2" fontId="8" fillId="11" borderId="0" xfId="0" applyNumberFormat="1" applyFont="1" applyFill="1" applyAlignment="1">
      <alignment horizontal="right"/>
    </xf>
    <xf numFmtId="1" fontId="6" fillId="11" borderId="0" xfId="0" applyNumberFormat="1" applyFont="1" applyFill="1" applyBorder="1" applyAlignment="1">
      <alignment horizontal="right" vertical="center"/>
    </xf>
    <xf numFmtId="0" fontId="11" fillId="14" borderId="4" xfId="0" applyFont="1" applyFill="1" applyBorder="1" applyAlignment="1">
      <alignment horizontal="center"/>
    </xf>
    <xf numFmtId="0" fontId="11" fillId="14" borderId="4" xfId="0" applyFont="1" applyFill="1" applyBorder="1" applyAlignment="1">
      <alignment horizontal="center"/>
    </xf>
    <xf numFmtId="0" fontId="5" fillId="3" borderId="1" xfId="0" applyFont="1" applyFill="1" applyBorder="1" applyAlignment="1">
      <alignment horizontal="center"/>
    </xf>
    <xf numFmtId="0" fontId="5" fillId="8" borderId="1" xfId="0" applyFont="1" applyFill="1" applyBorder="1" applyAlignment="1">
      <alignment horizontal="center"/>
    </xf>
    <xf numFmtId="0" fontId="5" fillId="6" borderId="1" xfId="0" applyFont="1" applyFill="1" applyBorder="1" applyAlignment="1">
      <alignment horizontal="center"/>
    </xf>
    <xf numFmtId="0" fontId="5" fillId="7" borderId="1" xfId="0" applyFont="1" applyFill="1" applyBorder="1" applyAlignment="1">
      <alignment horizontal="center"/>
    </xf>
    <xf numFmtId="0" fontId="8" fillId="10" borderId="10" xfId="0" applyFont="1" applyFill="1" applyBorder="1" applyAlignment="1">
      <alignment horizontal="center"/>
    </xf>
    <xf numFmtId="0" fontId="0" fillId="11" borderId="0" xfId="0" applyFill="1" applyAlignment="1">
      <alignment horizontal="center"/>
    </xf>
    <xf numFmtId="0" fontId="0" fillId="11" borderId="0" xfId="0" applyFill="1" applyAlignment="1">
      <alignment horizontal="center" vertical="center"/>
    </xf>
    <xf numFmtId="0" fontId="0" fillId="11" borderId="15" xfId="0" applyFill="1" applyBorder="1" applyAlignment="1">
      <alignment horizontal="center"/>
    </xf>
    <xf numFmtId="0" fontId="5" fillId="11" borderId="0" xfId="0" applyFont="1" applyFill="1" applyBorder="1" applyAlignment="1">
      <alignment horizontal="center"/>
    </xf>
    <xf numFmtId="0" fontId="0" fillId="11" borderId="2" xfId="0" applyFill="1" applyBorder="1" applyAlignment="1">
      <alignment horizontal="center"/>
    </xf>
    <xf numFmtId="0" fontId="0" fillId="11" borderId="0" xfId="0" applyFill="1" applyBorder="1" applyAlignment="1">
      <alignment horizontal="center"/>
    </xf>
    <xf numFmtId="0" fontId="5" fillId="11" borderId="0" xfId="0" applyFont="1" applyFill="1" applyAlignment="1">
      <alignment horizontal="center" vertical="center" wrapText="1"/>
    </xf>
    <xf numFmtId="0" fontId="8" fillId="10" borderId="10" xfId="0" applyFont="1" applyFill="1" applyBorder="1" applyAlignment="1">
      <alignment horizontal="center" vertical="center" wrapText="1"/>
    </xf>
    <xf numFmtId="0" fontId="0" fillId="2" borderId="1" xfId="0" applyFill="1" applyBorder="1" applyAlignment="1">
      <alignment horizontal="center"/>
    </xf>
    <xf numFmtId="0" fontId="0" fillId="7" borderId="1" xfId="0" applyFill="1" applyBorder="1" applyAlignment="1">
      <alignment horizontal="center"/>
    </xf>
    <xf numFmtId="0" fontId="19" fillId="16" borderId="1" xfId="0" applyFont="1" applyFill="1" applyBorder="1" applyAlignment="1">
      <alignment horizontal="center"/>
    </xf>
    <xf numFmtId="0" fontId="0" fillId="3" borderId="1" xfId="0" applyFill="1" applyBorder="1" applyAlignment="1">
      <alignment horizontal="center"/>
    </xf>
    <xf numFmtId="0" fontId="6" fillId="11" borderId="15" xfId="0" applyFont="1" applyFill="1" applyBorder="1" applyAlignment="1">
      <alignment horizontal="center"/>
    </xf>
    <xf numFmtId="0" fontId="11" fillId="11" borderId="15" xfId="0" applyFont="1" applyFill="1" applyBorder="1" applyAlignment="1">
      <alignment horizontal="center"/>
    </xf>
    <xf numFmtId="0" fontId="5" fillId="14" borderId="10" xfId="0" applyFont="1" applyFill="1" applyBorder="1" applyAlignment="1">
      <alignment horizontal="center"/>
    </xf>
    <xf numFmtId="0" fontId="5" fillId="17" borderId="1" xfId="0" applyFont="1" applyFill="1" applyBorder="1" applyAlignment="1">
      <alignment horizontal="center"/>
    </xf>
    <xf numFmtId="16" fontId="0" fillId="11" borderId="0" xfId="0" applyNumberFormat="1" applyFill="1" applyAlignment="1">
      <alignment horizontal="right"/>
    </xf>
    <xf numFmtId="2" fontId="0" fillId="0" borderId="0" xfId="0" applyNumberFormat="1" applyAlignment="1">
      <alignment horizontal="right"/>
    </xf>
    <xf numFmtId="1" fontId="0" fillId="0" borderId="0" xfId="0" applyNumberFormat="1" applyAlignment="1">
      <alignment horizontal="right"/>
    </xf>
    <xf numFmtId="0" fontId="23" fillId="10" borderId="9" xfId="0" applyFont="1" applyFill="1" applyBorder="1" applyAlignment="1">
      <alignment horizontal="left"/>
    </xf>
    <xf numFmtId="0" fontId="5" fillId="10" borderId="10" xfId="0" applyFont="1" applyFill="1" applyBorder="1" applyAlignment="1">
      <alignment horizontal="center"/>
    </xf>
    <xf numFmtId="0" fontId="5" fillId="11" borderId="0" xfId="0" applyFont="1" applyFill="1" applyAlignment="1">
      <alignment horizontal="center"/>
    </xf>
    <xf numFmtId="0" fontId="5" fillId="11" borderId="0" xfId="0" applyFont="1" applyFill="1" applyAlignment="1">
      <alignment horizontal="center" vertical="center"/>
    </xf>
    <xf numFmtId="0" fontId="5" fillId="11" borderId="15" xfId="0" applyFont="1" applyFill="1" applyBorder="1" applyAlignment="1">
      <alignment horizontal="center"/>
    </xf>
    <xf numFmtId="0" fontId="5" fillId="11" borderId="2" xfId="0" applyFont="1" applyFill="1" applyBorder="1" applyAlignment="1">
      <alignment horizontal="center"/>
    </xf>
    <xf numFmtId="0" fontId="5" fillId="10" borderId="10" xfId="0" applyFont="1" applyFill="1" applyBorder="1" applyAlignment="1">
      <alignment horizontal="center" vertical="center" wrapText="1"/>
    </xf>
    <xf numFmtId="0" fontId="11" fillId="11" borderId="0" xfId="0" applyFont="1" applyFill="1" applyBorder="1" applyAlignment="1">
      <alignment horizontal="center"/>
    </xf>
    <xf numFmtId="0" fontId="5" fillId="0" borderId="0" xfId="0" applyFont="1" applyAlignment="1">
      <alignment horizontal="center"/>
    </xf>
    <xf numFmtId="0" fontId="6" fillId="11" borderId="0" xfId="0" applyFont="1" applyFill="1"/>
    <xf numFmtId="0" fontId="8" fillId="11" borderId="0" xfId="0" applyFont="1" applyFill="1" applyBorder="1" applyAlignment="1">
      <alignment horizontal="right"/>
    </xf>
    <xf numFmtId="0" fontId="5" fillId="16" borderId="1" xfId="0" applyFont="1" applyFill="1" applyBorder="1" applyAlignment="1">
      <alignment horizontal="center"/>
    </xf>
    <xf numFmtId="0" fontId="24" fillId="19" borderId="1" xfId="0" applyFont="1" applyFill="1" applyBorder="1" applyAlignment="1">
      <alignment horizontal="center"/>
    </xf>
    <xf numFmtId="0" fontId="0" fillId="0" borderId="1" xfId="0" applyFont="1" applyFill="1" applyBorder="1"/>
    <xf numFmtId="1" fontId="0" fillId="0" borderId="1" xfId="0" applyNumberFormat="1" applyFont="1" applyFill="1" applyBorder="1" applyAlignment="1">
      <alignment horizontal="right"/>
    </xf>
    <xf numFmtId="1" fontId="0" fillId="5" borderId="1" xfId="0" applyNumberFormat="1" applyFont="1" applyFill="1" applyBorder="1" applyAlignment="1">
      <alignment horizontal="right"/>
    </xf>
    <xf numFmtId="0" fontId="0" fillId="11" borderId="0" xfId="0" applyFont="1" applyFill="1" applyBorder="1" applyAlignment="1">
      <alignment horizontal="right"/>
    </xf>
    <xf numFmtId="1" fontId="0" fillId="5" borderId="1" xfId="0" applyNumberFormat="1" applyFont="1" applyFill="1" applyBorder="1"/>
    <xf numFmtId="0" fontId="0" fillId="0" borderId="1" xfId="0" applyFont="1" applyBorder="1"/>
    <xf numFmtId="164" fontId="5" fillId="11" borderId="0" xfId="0" applyNumberFormat="1" applyFont="1" applyFill="1" applyAlignment="1">
      <alignment horizontal="right"/>
    </xf>
    <xf numFmtId="0" fontId="5" fillId="10" borderId="10" xfId="0" applyFont="1" applyFill="1" applyBorder="1" applyAlignment="1">
      <alignment horizontal="left"/>
    </xf>
    <xf numFmtId="0" fontId="5" fillId="11" borderId="0" xfId="0" applyFont="1" applyFill="1" applyAlignment="1">
      <alignment horizontal="left"/>
    </xf>
    <xf numFmtId="0" fontId="5" fillId="11" borderId="0" xfId="0" applyFont="1" applyFill="1" applyAlignment="1">
      <alignment horizontal="left" vertical="center"/>
    </xf>
    <xf numFmtId="0" fontId="5" fillId="11" borderId="15" xfId="0" applyFont="1" applyFill="1" applyBorder="1" applyAlignment="1">
      <alignment horizontal="left"/>
    </xf>
    <xf numFmtId="0" fontId="5" fillId="11" borderId="2" xfId="0" applyFont="1" applyFill="1" applyBorder="1" applyAlignment="1">
      <alignment horizontal="left"/>
    </xf>
    <xf numFmtId="0" fontId="5" fillId="10" borderId="10" xfId="0" applyFont="1" applyFill="1" applyBorder="1" applyAlignment="1">
      <alignment horizontal="left" vertical="center" wrapText="1"/>
    </xf>
    <xf numFmtId="0" fontId="5" fillId="3" borderId="1" xfId="0" applyFont="1" applyFill="1" applyBorder="1"/>
    <xf numFmtId="0" fontId="5" fillId="17" borderId="1" xfId="0" applyFont="1" applyFill="1" applyBorder="1"/>
    <xf numFmtId="0" fontId="5" fillId="11" borderId="0" xfId="0" applyFont="1" applyFill="1"/>
    <xf numFmtId="0" fontId="5" fillId="14" borderId="10" xfId="0" applyFont="1" applyFill="1" applyBorder="1"/>
    <xf numFmtId="0" fontId="11" fillId="11" borderId="15" xfId="0" applyFont="1" applyFill="1" applyBorder="1"/>
    <xf numFmtId="0" fontId="11" fillId="11" borderId="0" xfId="0" applyFont="1" applyFill="1" applyBorder="1"/>
    <xf numFmtId="0" fontId="11" fillId="0" borderId="0" xfId="0" applyFont="1" applyFill="1" applyBorder="1"/>
    <xf numFmtId="0" fontId="5" fillId="0" borderId="0" xfId="0" applyFont="1" applyAlignment="1">
      <alignment horizontal="left"/>
    </xf>
    <xf numFmtId="1" fontId="5" fillId="11" borderId="0" xfId="0" applyNumberFormat="1" applyFont="1" applyFill="1" applyAlignment="1">
      <alignment horizontal="right"/>
    </xf>
    <xf numFmtId="0" fontId="1" fillId="11" borderId="0" xfId="0" applyFont="1" applyFill="1" applyBorder="1" applyAlignment="1">
      <alignment horizontal="left"/>
    </xf>
    <xf numFmtId="0" fontId="1" fillId="11" borderId="0" xfId="0" applyFont="1" applyFill="1" applyBorder="1" applyAlignment="1">
      <alignment horizontal="left" wrapText="1"/>
    </xf>
    <xf numFmtId="0" fontId="1" fillId="11" borderId="0" xfId="0" applyFont="1" applyFill="1" applyBorder="1" applyAlignment="1">
      <alignment horizontal="left" vertical="center" wrapText="1"/>
    </xf>
    <xf numFmtId="0" fontId="5" fillId="8" borderId="1" xfId="0" applyFont="1" applyFill="1" applyBorder="1" applyAlignment="1">
      <alignment horizontal="left"/>
    </xf>
    <xf numFmtId="0" fontId="11" fillId="14" borderId="4" xfId="0" applyFont="1" applyFill="1" applyBorder="1" applyAlignment="1">
      <alignment horizontal="center"/>
    </xf>
    <xf numFmtId="1" fontId="0" fillId="5" borderId="11" xfId="0" applyNumberFormat="1" applyFill="1" applyBorder="1" applyAlignment="1">
      <alignment horizontal="right"/>
    </xf>
    <xf numFmtId="1" fontId="0" fillId="5" borderId="9" xfId="0" applyNumberFormat="1" applyFill="1" applyBorder="1"/>
    <xf numFmtId="0" fontId="0" fillId="8" borderId="1" xfId="0" applyFill="1" applyBorder="1" applyAlignment="1">
      <alignment horizontal="center"/>
    </xf>
    <xf numFmtId="0" fontId="0" fillId="12" borderId="14" xfId="0" applyFill="1" applyBorder="1"/>
    <xf numFmtId="0" fontId="0" fillId="0" borderId="14" xfId="0" applyBorder="1"/>
    <xf numFmtId="0" fontId="5" fillId="3" borderId="14" xfId="0" applyFont="1" applyFill="1" applyBorder="1" applyAlignment="1">
      <alignment horizontal="center"/>
    </xf>
    <xf numFmtId="1" fontId="0" fillId="0" borderId="14" xfId="0" applyNumberFormat="1" applyBorder="1" applyAlignment="1">
      <alignment horizontal="right"/>
    </xf>
    <xf numFmtId="1" fontId="0" fillId="5" borderId="14" xfId="0" applyNumberFormat="1" applyFill="1" applyBorder="1" applyAlignment="1">
      <alignment horizontal="right"/>
    </xf>
    <xf numFmtId="1" fontId="0" fillId="5" borderId="14" xfId="0" applyNumberFormat="1" applyFill="1" applyBorder="1"/>
    <xf numFmtId="0" fontId="11" fillId="14" borderId="9" xfId="0" applyFont="1" applyFill="1" applyBorder="1" applyAlignment="1"/>
    <xf numFmtId="0" fontId="11" fillId="14" borderId="10" xfId="0" applyFont="1" applyFill="1" applyBorder="1" applyAlignment="1"/>
    <xf numFmtId="0" fontId="11" fillId="14" borderId="11" xfId="0" applyFont="1" applyFill="1" applyBorder="1" applyAlignment="1"/>
    <xf numFmtId="0" fontId="0" fillId="11" borderId="5" xfId="0" applyFill="1" applyBorder="1" applyAlignment="1">
      <alignment horizontal="right"/>
    </xf>
    <xf numFmtId="0" fontId="0" fillId="11" borderId="6" xfId="0" applyFill="1" applyBorder="1" applyAlignment="1">
      <alignment horizontal="right"/>
    </xf>
    <xf numFmtId="0" fontId="0" fillId="11" borderId="0" xfId="0" applyFont="1" applyFill="1" applyAlignment="1">
      <alignment horizontal="right"/>
    </xf>
    <xf numFmtId="0" fontId="6" fillId="14" borderId="9" xfId="0" applyFont="1" applyFill="1" applyBorder="1"/>
    <xf numFmtId="1" fontId="6" fillId="14" borderId="10" xfId="0" applyNumberFormat="1" applyFont="1" applyFill="1" applyBorder="1" applyAlignment="1">
      <alignment horizontal="right"/>
    </xf>
    <xf numFmtId="0" fontId="6" fillId="14" borderId="11" xfId="0" applyFont="1" applyFill="1" applyBorder="1"/>
    <xf numFmtId="0" fontId="11" fillId="14" borderId="4" xfId="0" applyFont="1" applyFill="1" applyBorder="1" applyAlignment="1">
      <alignment horizontal="center"/>
    </xf>
    <xf numFmtId="0" fontId="8" fillId="6" borderId="1" xfId="0" applyFont="1" applyFill="1" applyBorder="1" applyAlignment="1">
      <alignment horizontal="center"/>
    </xf>
    <xf numFmtId="0" fontId="25" fillId="21" borderId="1" xfId="0" applyFont="1" applyFill="1" applyBorder="1" applyAlignment="1">
      <alignment horizontal="center"/>
    </xf>
    <xf numFmtId="8" fontId="7" fillId="0" borderId="0" xfId="0" applyNumberFormat="1" applyFont="1" applyFill="1"/>
    <xf numFmtId="0" fontId="8" fillId="11" borderId="0" xfId="0" applyFont="1" applyFill="1" applyAlignment="1">
      <alignment horizontal="left"/>
    </xf>
    <xf numFmtId="0" fontId="8" fillId="11" borderId="0" xfId="0" applyFont="1" applyFill="1" applyAlignment="1">
      <alignment horizontal="left" wrapText="1"/>
    </xf>
    <xf numFmtId="0" fontId="8" fillId="11" borderId="0" xfId="0" applyFont="1" applyFill="1" applyAlignment="1">
      <alignment horizontal="left" vertical="center" wrapText="1"/>
    </xf>
    <xf numFmtId="0" fontId="6" fillId="11" borderId="0" xfId="0" applyFont="1" applyFill="1" applyBorder="1" applyAlignment="1">
      <alignment horizontal="center"/>
    </xf>
    <xf numFmtId="0" fontId="0" fillId="6" borderId="1" xfId="0" applyFill="1" applyBorder="1" applyAlignment="1">
      <alignment horizontal="center"/>
    </xf>
    <xf numFmtId="1" fontId="0" fillId="8" borderId="1" xfId="0" applyNumberFormat="1" applyFill="1" applyBorder="1" applyAlignment="1">
      <alignment horizontal="right"/>
    </xf>
    <xf numFmtId="1" fontId="5" fillId="11" borderId="0" xfId="0" applyNumberFormat="1" applyFont="1" applyFill="1" applyAlignment="1">
      <alignment horizontal="left"/>
    </xf>
    <xf numFmtId="0" fontId="5" fillId="16" borderId="14" xfId="0" applyFont="1" applyFill="1" applyBorder="1" applyAlignment="1">
      <alignment horizontal="center"/>
    </xf>
    <xf numFmtId="0" fontId="0" fillId="16" borderId="1" xfId="0" applyFill="1" applyBorder="1" applyAlignment="1">
      <alignment horizontal="center"/>
    </xf>
    <xf numFmtId="0" fontId="0" fillId="2" borderId="1" xfId="0" applyFill="1" applyBorder="1" applyAlignment="1">
      <alignment horizontal="right"/>
    </xf>
    <xf numFmtId="0" fontId="11" fillId="14" borderId="4" xfId="0" applyFont="1" applyFill="1" applyBorder="1" applyAlignment="1">
      <alignment horizontal="center"/>
    </xf>
    <xf numFmtId="0" fontId="11" fillId="14" borderId="4" xfId="0" applyFont="1" applyFill="1" applyBorder="1" applyAlignment="1">
      <alignment horizontal="center"/>
    </xf>
    <xf numFmtId="0" fontId="5" fillId="21" borderId="1" xfId="0" applyFont="1" applyFill="1" applyBorder="1" applyAlignment="1">
      <alignment horizontal="center"/>
    </xf>
    <xf numFmtId="0" fontId="5" fillId="8" borderId="14" xfId="0" applyFont="1" applyFill="1" applyBorder="1" applyAlignment="1">
      <alignment horizontal="center"/>
    </xf>
    <xf numFmtId="0" fontId="26" fillId="22" borderId="0" xfId="0" applyFont="1" applyFill="1"/>
    <xf numFmtId="0" fontId="5" fillId="22" borderId="0" xfId="0" applyFont="1" applyFill="1" applyAlignment="1">
      <alignment horizontal="center"/>
    </xf>
    <xf numFmtId="0" fontId="24" fillId="22" borderId="0" xfId="0" applyFont="1" applyFill="1"/>
    <xf numFmtId="0" fontId="24" fillId="0" borderId="11" xfId="0" applyFont="1" applyBorder="1"/>
    <xf numFmtId="0" fontId="24" fillId="19" borderId="11" xfId="0" applyFont="1" applyFill="1" applyBorder="1" applyAlignment="1">
      <alignment horizontal="center"/>
    </xf>
    <xf numFmtId="1" fontId="24" fillId="0" borderId="11" xfId="0" applyNumberFormat="1" applyFont="1" applyBorder="1" applyAlignment="1">
      <alignment horizontal="right"/>
    </xf>
    <xf numFmtId="0" fontId="24" fillId="0" borderId="8" xfId="0" applyFont="1" applyBorder="1"/>
    <xf numFmtId="0" fontId="5" fillId="24" borderId="8" xfId="0" applyFont="1" applyFill="1" applyBorder="1" applyAlignment="1">
      <alignment horizontal="center"/>
    </xf>
    <xf numFmtId="1" fontId="24" fillId="0" borderId="8" xfId="0" applyNumberFormat="1" applyFont="1" applyBorder="1" applyAlignment="1">
      <alignment horizontal="right"/>
    </xf>
    <xf numFmtId="0" fontId="5" fillId="25" borderId="8" xfId="0" applyFont="1" applyFill="1" applyBorder="1" applyAlignment="1">
      <alignment horizontal="center"/>
    </xf>
    <xf numFmtId="0" fontId="24" fillId="19" borderId="8" xfId="0" applyFont="1" applyFill="1" applyBorder="1" applyAlignment="1">
      <alignment horizontal="center"/>
    </xf>
    <xf numFmtId="0" fontId="5" fillId="26" borderId="8" xfId="0" applyFont="1" applyFill="1" applyBorder="1" applyAlignment="1">
      <alignment horizontal="center"/>
    </xf>
    <xf numFmtId="0" fontId="0" fillId="0" borderId="1" xfId="0" applyBorder="1" applyAlignment="1">
      <alignment wrapText="1"/>
    </xf>
    <xf numFmtId="1" fontId="6" fillId="6" borderId="1" xfId="0" applyNumberFormat="1" applyFont="1" applyFill="1" applyBorder="1" applyAlignment="1">
      <alignment horizontal="right"/>
    </xf>
    <xf numFmtId="1" fontId="6" fillId="3" borderId="1" xfId="0" applyNumberFormat="1" applyFont="1" applyFill="1" applyBorder="1" applyAlignment="1">
      <alignment horizontal="right"/>
    </xf>
    <xf numFmtId="0" fontId="0" fillId="0" borderId="1" xfId="0" quotePrefix="1" applyBorder="1"/>
    <xf numFmtId="0" fontId="11" fillId="14" borderId="4" xfId="0" applyFont="1" applyFill="1" applyBorder="1" applyAlignment="1">
      <alignment horizontal="center"/>
    </xf>
    <xf numFmtId="0" fontId="4" fillId="0" borderId="0" xfId="0" applyFont="1" applyAlignment="1">
      <alignment horizontal="left"/>
    </xf>
    <xf numFmtId="0" fontId="11" fillId="14" borderId="4" xfId="0" applyFont="1" applyFill="1" applyBorder="1" applyAlignment="1">
      <alignment horizontal="center"/>
    </xf>
    <xf numFmtId="0" fontId="11" fillId="20" borderId="10" xfId="0" applyFont="1" applyFill="1" applyBorder="1"/>
    <xf numFmtId="0" fontId="5" fillId="27" borderId="8" xfId="0" applyFont="1" applyFill="1" applyBorder="1" applyAlignment="1">
      <alignment horizontal="center"/>
    </xf>
    <xf numFmtId="1" fontId="8" fillId="6" borderId="1" xfId="0" applyNumberFormat="1" applyFont="1" applyFill="1" applyBorder="1" applyAlignment="1">
      <alignment horizontal="center"/>
    </xf>
    <xf numFmtId="0" fontId="11" fillId="14" borderId="4" xfId="0" applyFont="1" applyFill="1" applyBorder="1" applyAlignment="1">
      <alignment horizontal="center"/>
    </xf>
    <xf numFmtId="0" fontId="24" fillId="21" borderId="1" xfId="0" applyFont="1" applyFill="1" applyBorder="1" applyAlignment="1">
      <alignment horizontal="center"/>
    </xf>
    <xf numFmtId="0" fontId="11" fillId="14" borderId="4" xfId="0" applyFont="1" applyFill="1" applyBorder="1" applyAlignment="1">
      <alignment horizontal="center"/>
    </xf>
    <xf numFmtId="1" fontId="6" fillId="8" borderId="1" xfId="0" applyNumberFormat="1" applyFont="1" applyFill="1" applyBorder="1" applyAlignment="1">
      <alignment horizontal="right"/>
    </xf>
    <xf numFmtId="1" fontId="6" fillId="2" borderId="1" xfId="0" applyNumberFormat="1" applyFont="1" applyFill="1" applyBorder="1" applyAlignment="1">
      <alignment horizontal="right"/>
    </xf>
    <xf numFmtId="0" fontId="24" fillId="0" borderId="1" xfId="0" applyFont="1" applyBorder="1"/>
    <xf numFmtId="0" fontId="24" fillId="0" borderId="14" xfId="0" applyFont="1" applyBorder="1"/>
    <xf numFmtId="0" fontId="11" fillId="14" borderId="4" xfId="0" applyFont="1" applyFill="1" applyBorder="1" applyAlignment="1">
      <alignment horizontal="center"/>
    </xf>
    <xf numFmtId="1" fontId="0" fillId="3" borderId="1" xfId="0" applyNumberFormat="1" applyFont="1" applyFill="1" applyBorder="1" applyAlignment="1">
      <alignment horizontal="right"/>
    </xf>
    <xf numFmtId="1" fontId="0" fillId="7" borderId="1" xfId="0" applyNumberFormat="1" applyFill="1" applyBorder="1" applyAlignment="1">
      <alignment horizontal="right"/>
    </xf>
    <xf numFmtId="1" fontId="0" fillId="0" borderId="14" xfId="0" applyNumberFormat="1" applyFont="1" applyBorder="1" applyAlignment="1">
      <alignment horizontal="right"/>
    </xf>
    <xf numFmtId="1" fontId="0" fillId="11" borderId="0" xfId="0" applyNumberFormat="1" applyFont="1" applyFill="1" applyBorder="1" applyAlignment="1">
      <alignment horizontal="right"/>
    </xf>
    <xf numFmtId="0" fontId="11" fillId="14" borderId="4" xfId="0" applyFont="1" applyFill="1" applyBorder="1" applyAlignment="1">
      <alignment horizontal="center"/>
    </xf>
    <xf numFmtId="0" fontId="11" fillId="14" borderId="4" xfId="0" applyFont="1" applyFill="1" applyBorder="1" applyAlignment="1">
      <alignment horizontal="center"/>
    </xf>
    <xf numFmtId="0" fontId="5" fillId="17" borderId="14" xfId="0" applyFont="1" applyFill="1" applyBorder="1" applyAlignment="1">
      <alignment horizontal="center"/>
    </xf>
    <xf numFmtId="0" fontId="11" fillId="14" borderId="4" xfId="0" applyFont="1" applyFill="1" applyBorder="1" applyAlignment="1">
      <alignment horizontal="center"/>
    </xf>
    <xf numFmtId="0" fontId="11" fillId="14" borderId="4" xfId="0" applyFont="1" applyFill="1" applyBorder="1" applyAlignment="1">
      <alignment horizontal="center"/>
    </xf>
    <xf numFmtId="0" fontId="11" fillId="14" borderId="4" xfId="0" applyFont="1" applyFill="1" applyBorder="1" applyAlignment="1">
      <alignment horizontal="center"/>
    </xf>
    <xf numFmtId="0" fontId="11" fillId="14" borderId="10" xfId="0" applyFont="1" applyFill="1" applyBorder="1" applyAlignment="1">
      <alignment horizontal="center"/>
    </xf>
    <xf numFmtId="0" fontId="6" fillId="14" borderId="10" xfId="0" applyFont="1" applyFill="1" applyBorder="1" applyAlignment="1">
      <alignment horizontal="center"/>
    </xf>
    <xf numFmtId="0" fontId="20" fillId="16" borderId="1" xfId="0" applyFont="1" applyFill="1" applyBorder="1" applyAlignment="1">
      <alignment horizontal="center"/>
    </xf>
    <xf numFmtId="0" fontId="0" fillId="14" borderId="10" xfId="0" applyFill="1" applyBorder="1" applyAlignment="1">
      <alignment horizontal="center"/>
    </xf>
    <xf numFmtId="0" fontId="0" fillId="17" borderId="1" xfId="0" applyFill="1" applyBorder="1" applyAlignment="1">
      <alignment horizontal="center"/>
    </xf>
    <xf numFmtId="0" fontId="5" fillId="2" borderId="1" xfId="0" applyFont="1" applyFill="1" applyBorder="1" applyAlignment="1">
      <alignment horizontal="center"/>
    </xf>
    <xf numFmtId="0" fontId="5" fillId="7" borderId="1" xfId="0" applyFont="1" applyFill="1" applyBorder="1" applyAlignment="1">
      <alignment horizontal="right"/>
    </xf>
    <xf numFmtId="1" fontId="0" fillId="0" borderId="0" xfId="0" applyNumberFormat="1"/>
    <xf numFmtId="0" fontId="8" fillId="6" borderId="0" xfId="0" applyFont="1" applyFill="1" applyAlignment="1">
      <alignment horizontal="center"/>
    </xf>
    <xf numFmtId="0" fontId="8" fillId="6" borderId="10" xfId="0" applyFont="1" applyFill="1" applyBorder="1" applyAlignment="1">
      <alignment horizontal="center"/>
    </xf>
    <xf numFmtId="0" fontId="4" fillId="11" borderId="0" xfId="0" applyFont="1" applyFill="1" applyBorder="1" applyAlignment="1">
      <alignment horizontal="right"/>
    </xf>
    <xf numFmtId="0" fontId="5" fillId="11" borderId="0" xfId="0" applyFont="1" applyFill="1" applyAlignment="1">
      <alignment horizontal="left" wrapText="1"/>
    </xf>
    <xf numFmtId="0" fontId="5" fillId="11" borderId="0" xfId="0" applyFont="1" applyFill="1" applyAlignment="1">
      <alignment horizontal="right"/>
    </xf>
    <xf numFmtId="1" fontId="5" fillId="11" borderId="1" xfId="0" applyNumberFormat="1" applyFont="1" applyFill="1" applyBorder="1" applyAlignment="1">
      <alignment horizontal="right"/>
    </xf>
    <xf numFmtId="1" fontId="11" fillId="11" borderId="1" xfId="0" applyNumberFormat="1" applyFont="1" applyFill="1" applyBorder="1" applyAlignment="1">
      <alignment horizontal="right"/>
    </xf>
    <xf numFmtId="0" fontId="5" fillId="11" borderId="1" xfId="0" applyFont="1" applyFill="1" applyBorder="1" applyAlignment="1">
      <alignment horizontal="right"/>
    </xf>
    <xf numFmtId="0" fontId="27" fillId="11" borderId="0" xfId="0" applyFont="1" applyFill="1" applyAlignment="1">
      <alignment horizontal="right"/>
    </xf>
    <xf numFmtId="0" fontId="5" fillId="11" borderId="0" xfId="0" applyFont="1" applyFill="1" applyBorder="1" applyAlignment="1">
      <alignment horizontal="left" wrapText="1"/>
    </xf>
    <xf numFmtId="0" fontId="5" fillId="11" borderId="0" xfId="0" applyFont="1" applyFill="1" applyBorder="1" applyAlignment="1">
      <alignment horizontal="left" vertical="center" wrapText="1"/>
    </xf>
    <xf numFmtId="2" fontId="5" fillId="11" borderId="0" xfId="0" applyNumberFormat="1" applyFont="1" applyFill="1" applyAlignment="1">
      <alignment horizontal="right"/>
    </xf>
    <xf numFmtId="3" fontId="0" fillId="4" borderId="6" xfId="0" applyNumberFormat="1" applyFill="1" applyBorder="1"/>
    <xf numFmtId="3" fontId="0" fillId="4" borderId="8" xfId="0" applyNumberFormat="1" applyFill="1" applyBorder="1"/>
    <xf numFmtId="0" fontId="0" fillId="11" borderId="0" xfId="0" applyFont="1" applyFill="1"/>
    <xf numFmtId="0" fontId="0" fillId="11" borderId="5" xfId="0" applyFont="1" applyFill="1" applyBorder="1"/>
    <xf numFmtId="0" fontId="0" fillId="11" borderId="7" xfId="0" applyFont="1" applyFill="1" applyBorder="1"/>
    <xf numFmtId="0" fontId="0" fillId="9" borderId="1" xfId="0" applyFont="1" applyFill="1" applyBorder="1"/>
    <xf numFmtId="0" fontId="4" fillId="11" borderId="0" xfId="0" applyFont="1" applyFill="1" applyBorder="1" applyAlignment="1">
      <alignment horizontal="left" wrapText="1"/>
    </xf>
    <xf numFmtId="0" fontId="0" fillId="11" borderId="0" xfId="0" applyFill="1" applyBorder="1" applyAlignment="1">
      <alignment horizontal="left" wrapText="1"/>
    </xf>
    <xf numFmtId="0" fontId="0" fillId="11" borderId="5" xfId="0" applyFont="1" applyFill="1" applyBorder="1" applyAlignment="1">
      <alignment horizontal="right"/>
    </xf>
    <xf numFmtId="165" fontId="0" fillId="2" borderId="0" xfId="0" applyNumberFormat="1" applyFill="1"/>
    <xf numFmtId="0" fontId="0" fillId="0" borderId="5" xfId="0" applyFont="1" applyBorder="1"/>
    <xf numFmtId="0" fontId="0" fillId="11" borderId="2" xfId="0" applyFill="1" applyBorder="1" applyAlignment="1">
      <alignment vertical="top"/>
    </xf>
    <xf numFmtId="0" fontId="4" fillId="11" borderId="6" xfId="0" applyFont="1" applyFill="1" applyBorder="1" applyAlignment="1">
      <alignment horizontal="left"/>
    </xf>
    <xf numFmtId="0" fontId="0" fillId="11" borderId="3" xfId="0" applyFont="1" applyFill="1" applyBorder="1"/>
    <xf numFmtId="0" fontId="0" fillId="11" borderId="15" xfId="0" applyFill="1" applyBorder="1"/>
    <xf numFmtId="0" fontId="0" fillId="11" borderId="4" xfId="0" applyFill="1" applyBorder="1"/>
    <xf numFmtId="1" fontId="0" fillId="11" borderId="0" xfId="0" applyNumberFormat="1" applyFill="1" applyBorder="1"/>
    <xf numFmtId="0" fontId="0" fillId="11" borderId="5" xfId="0" applyFont="1" applyFill="1" applyBorder="1" applyAlignment="1">
      <alignment horizontal="left"/>
    </xf>
    <xf numFmtId="0" fontId="0" fillId="11" borderId="0" xfId="0" applyFill="1" applyBorder="1" applyAlignment="1"/>
    <xf numFmtId="0" fontId="18" fillId="11" borderId="2" xfId="159" applyFont="1" applyFill="1" applyBorder="1" applyAlignment="1">
      <alignment vertical="top"/>
    </xf>
    <xf numFmtId="3" fontId="5" fillId="18" borderId="1" xfId="0" applyNumberFormat="1" applyFont="1" applyFill="1" applyBorder="1"/>
    <xf numFmtId="1" fontId="0" fillId="18" borderId="1" xfId="0" applyNumberFormat="1" applyFill="1" applyBorder="1"/>
    <xf numFmtId="165" fontId="0" fillId="18" borderId="1" xfId="0" applyNumberFormat="1" applyFill="1" applyBorder="1"/>
    <xf numFmtId="0" fontId="0" fillId="18" borderId="1" xfId="0" applyFill="1" applyBorder="1"/>
    <xf numFmtId="3" fontId="0" fillId="18" borderId="1" xfId="0" applyNumberFormat="1" applyFill="1" applyBorder="1"/>
    <xf numFmtId="0" fontId="17" fillId="11" borderId="7" xfId="0" applyFont="1" applyFill="1" applyBorder="1" applyAlignment="1">
      <alignment horizontal="right" vertical="top"/>
    </xf>
    <xf numFmtId="0" fontId="0" fillId="11" borderId="0" xfId="0" applyFill="1" applyBorder="1" applyAlignment="1">
      <alignment vertical="top" wrapText="1"/>
    </xf>
    <xf numFmtId="3" fontId="0" fillId="11" borderId="0" xfId="0" applyNumberFormat="1" applyFill="1" applyBorder="1"/>
    <xf numFmtId="0" fontId="2" fillId="11" borderId="0" xfId="159" applyFill="1" applyBorder="1" applyAlignment="1">
      <alignment horizontal="right" vertical="top"/>
    </xf>
    <xf numFmtId="0" fontId="1" fillId="11" borderId="0" xfId="0" applyFont="1" applyFill="1" applyBorder="1" applyAlignment="1">
      <alignment horizontal="center"/>
    </xf>
    <xf numFmtId="3" fontId="0" fillId="11" borderId="0" xfId="0" applyNumberFormat="1" applyFill="1" applyBorder="1" applyAlignment="1">
      <alignment horizontal="left" indent="3"/>
    </xf>
    <xf numFmtId="3" fontId="0" fillId="11" borderId="0" xfId="0" applyNumberFormat="1" applyFill="1" applyBorder="1" applyAlignment="1">
      <alignment horizontal="left"/>
    </xf>
    <xf numFmtId="0" fontId="29" fillId="10" borderId="3" xfId="0" applyFont="1" applyFill="1" applyBorder="1"/>
    <xf numFmtId="0" fontId="29" fillId="10" borderId="7" xfId="0" applyFont="1" applyFill="1" applyBorder="1"/>
    <xf numFmtId="166" fontId="0" fillId="11" borderId="0" xfId="0" applyNumberFormat="1" applyFill="1" applyBorder="1"/>
    <xf numFmtId="0" fontId="2" fillId="11" borderId="0" xfId="159" applyFill="1" applyAlignment="1">
      <alignment horizontal="left"/>
    </xf>
    <xf numFmtId="0" fontId="0" fillId="11" borderId="1" xfId="0" applyFill="1" applyBorder="1"/>
    <xf numFmtId="0" fontId="0" fillId="11" borderId="1" xfId="0" applyFont="1" applyFill="1" applyBorder="1" applyAlignment="1">
      <alignment horizontal="center"/>
    </xf>
    <xf numFmtId="0" fontId="0" fillId="3" borderId="1" xfId="0" applyFont="1" applyFill="1" applyBorder="1"/>
    <xf numFmtId="0" fontId="0" fillId="11" borderId="1" xfId="0" applyFont="1" applyFill="1" applyBorder="1"/>
    <xf numFmtId="0" fontId="0" fillId="11" borderId="1" xfId="0" applyFill="1" applyBorder="1" applyAlignment="1">
      <alignment horizontal="center"/>
    </xf>
    <xf numFmtId="0" fontId="0" fillId="3" borderId="1" xfId="0" applyFill="1" applyBorder="1"/>
    <xf numFmtId="14" fontId="0" fillId="9" borderId="1" xfId="0" applyNumberFormat="1" applyFont="1" applyFill="1" applyBorder="1" applyAlignment="1">
      <alignment horizontal="center"/>
    </xf>
    <xf numFmtId="14" fontId="0" fillId="9" borderId="1" xfId="0" applyNumberFormat="1" applyFill="1" applyBorder="1" applyAlignment="1">
      <alignment horizontal="center"/>
    </xf>
    <xf numFmtId="0" fontId="6" fillId="11" borderId="1" xfId="0" applyFont="1" applyFill="1" applyBorder="1" applyAlignment="1">
      <alignment horizontal="left" wrapText="1"/>
    </xf>
    <xf numFmtId="0" fontId="6" fillId="11" borderId="1" xfId="0" applyFont="1" applyFill="1" applyBorder="1" applyAlignment="1">
      <alignment horizontal="left"/>
    </xf>
    <xf numFmtId="0" fontId="6" fillId="11" borderId="1" xfId="0" applyFont="1" applyFill="1" applyBorder="1"/>
    <xf numFmtId="0" fontId="30" fillId="11" borderId="0" xfId="0" applyFont="1" applyFill="1" applyAlignment="1">
      <alignment horizontal="left"/>
    </xf>
    <xf numFmtId="0" fontId="31" fillId="11" borderId="0" xfId="0" applyFont="1" applyFill="1"/>
    <xf numFmtId="0" fontId="31" fillId="0" borderId="0" xfId="0" applyFont="1"/>
    <xf numFmtId="0" fontId="30" fillId="11" borderId="0" xfId="0" applyFont="1" applyFill="1"/>
    <xf numFmtId="0" fontId="32" fillId="11" borderId="0" xfId="0" applyFont="1" applyFill="1" applyAlignment="1">
      <alignment horizontal="right"/>
    </xf>
    <xf numFmtId="166" fontId="0" fillId="3" borderId="1" xfId="0" applyNumberFormat="1" applyFont="1" applyFill="1" applyBorder="1"/>
    <xf numFmtId="2" fontId="0" fillId="14" borderId="10" xfId="0" applyNumberFormat="1" applyFont="1" applyFill="1" applyBorder="1" applyAlignment="1">
      <alignment horizontal="left" indent="2"/>
    </xf>
    <xf numFmtId="3" fontId="0" fillId="14" borderId="9" xfId="0" applyNumberFormat="1" applyFill="1" applyBorder="1"/>
    <xf numFmtId="3" fontId="0" fillId="14" borderId="1" xfId="0" applyNumberFormat="1" applyFill="1" applyBorder="1"/>
    <xf numFmtId="4" fontId="0" fillId="11" borderId="0" xfId="0" applyNumberFormat="1" applyFill="1" applyBorder="1"/>
    <xf numFmtId="167" fontId="0" fillId="0" borderId="0" xfId="0" applyNumberFormat="1"/>
    <xf numFmtId="1" fontId="0" fillId="11" borderId="0" xfId="0" applyNumberFormat="1" applyFill="1"/>
    <xf numFmtId="0" fontId="0" fillId="0" borderId="0" xfId="0" applyAlignment="1">
      <alignment vertical="top"/>
    </xf>
    <xf numFmtId="0" fontId="0" fillId="0" borderId="0" xfId="0" applyAlignment="1">
      <alignment horizontal="right" vertical="center"/>
    </xf>
    <xf numFmtId="0" fontId="4" fillId="0" borderId="0" xfId="0" applyFont="1"/>
    <xf numFmtId="0" fontId="4" fillId="11" borderId="0" xfId="0" applyFont="1" applyFill="1" applyAlignment="1">
      <alignment vertical="top"/>
    </xf>
    <xf numFmtId="0" fontId="28" fillId="11" borderId="0" xfId="0" applyFont="1" applyFill="1" applyAlignment="1">
      <alignment horizontal="left"/>
    </xf>
    <xf numFmtId="0" fontId="8" fillId="11" borderId="0" xfId="0" applyFont="1" applyFill="1"/>
    <xf numFmtId="3" fontId="8" fillId="11" borderId="0" xfId="0" applyNumberFormat="1" applyFont="1" applyFill="1" applyAlignment="1">
      <alignment horizontal="left"/>
    </xf>
    <xf numFmtId="0" fontId="8" fillId="11" borderId="0" xfId="0" applyFont="1" applyFill="1" applyAlignment="1">
      <alignment wrapText="1"/>
    </xf>
    <xf numFmtId="3" fontId="8" fillId="11" borderId="0" xfId="0" applyNumberFormat="1" applyFont="1" applyFill="1"/>
    <xf numFmtId="2" fontId="8" fillId="11" borderId="0" xfId="0" applyNumberFormat="1" applyFont="1" applyFill="1" applyAlignment="1">
      <alignment horizontal="left"/>
    </xf>
    <xf numFmtId="1" fontId="8" fillId="11" borderId="0" xfId="0" applyNumberFormat="1" applyFont="1" applyFill="1"/>
    <xf numFmtId="0" fontId="24" fillId="0" borderId="0" xfId="0" applyFont="1" applyAlignment="1">
      <alignment horizontal="right"/>
    </xf>
    <xf numFmtId="0" fontId="33" fillId="22" borderId="0" xfId="0" applyFont="1" applyFill="1" applyAlignment="1">
      <alignment horizontal="right"/>
    </xf>
    <xf numFmtId="0" fontId="33" fillId="0" borderId="0" xfId="0" applyFont="1"/>
    <xf numFmtId="0" fontId="24" fillId="22" borderId="0" xfId="0" applyFont="1" applyFill="1" applyAlignment="1">
      <alignment horizontal="right"/>
    </xf>
    <xf numFmtId="0" fontId="33" fillId="22" borderId="0" xfId="0" applyFont="1" applyFill="1" applyAlignment="1">
      <alignment vertical="top"/>
    </xf>
    <xf numFmtId="14" fontId="0" fillId="0" borderId="1" xfId="0" applyNumberFormat="1" applyFill="1" applyBorder="1" applyProtection="1">
      <protection locked="0"/>
    </xf>
    <xf numFmtId="14" fontId="5" fillId="15" borderId="1" xfId="0" applyNumberFormat="1" applyFont="1" applyFill="1" applyBorder="1" applyProtection="1">
      <protection locked="0"/>
    </xf>
    <xf numFmtId="165" fontId="0" fillId="15" borderId="1" xfId="0" applyNumberFormat="1" applyFill="1" applyBorder="1" applyAlignment="1" applyProtection="1">
      <alignment horizontal="right"/>
      <protection locked="0"/>
    </xf>
    <xf numFmtId="3" fontId="0" fillId="12" borderId="9" xfId="0" applyNumberFormat="1" applyFill="1" applyBorder="1" applyAlignment="1" applyProtection="1">
      <alignment horizontal="left" indent="2"/>
      <protection locked="0"/>
    </xf>
    <xf numFmtId="2" fontId="0" fillId="12" borderId="19" xfId="0" applyNumberFormat="1" applyFont="1" applyFill="1" applyBorder="1" applyAlignment="1" applyProtection="1">
      <alignment horizontal="left" indent="2"/>
      <protection locked="0"/>
    </xf>
    <xf numFmtId="2" fontId="0" fillId="12" borderId="20" xfId="0" applyNumberFormat="1" applyFont="1" applyFill="1" applyBorder="1" applyAlignment="1" applyProtection="1">
      <alignment horizontal="left" indent="1"/>
      <protection locked="0"/>
    </xf>
    <xf numFmtId="3" fontId="0" fillId="12" borderId="2" xfId="0" applyNumberFormat="1" applyFill="1" applyBorder="1" applyAlignment="1" applyProtection="1">
      <alignment horizontal="left" indent="3"/>
      <protection locked="0"/>
    </xf>
    <xf numFmtId="3" fontId="0" fillId="12" borderId="19" xfId="0" applyNumberFormat="1" applyFill="1" applyBorder="1" applyAlignment="1" applyProtection="1">
      <alignment horizontal="left" indent="3"/>
      <protection locked="0"/>
    </xf>
    <xf numFmtId="3" fontId="0" fillId="15" borderId="9" xfId="0" applyNumberFormat="1" applyFill="1" applyBorder="1" applyAlignment="1" applyProtection="1">
      <alignment horizontal="left" indent="2"/>
      <protection locked="0"/>
    </xf>
    <xf numFmtId="2" fontId="0" fillId="15" borderId="17" xfId="0" applyNumberFormat="1" applyFont="1" applyFill="1" applyBorder="1" applyAlignment="1" applyProtection="1">
      <alignment horizontal="left" indent="2"/>
      <protection locked="0"/>
    </xf>
    <xf numFmtId="2" fontId="0" fillId="15" borderId="18" xfId="0" applyNumberFormat="1" applyFont="1" applyFill="1" applyBorder="1" applyAlignment="1" applyProtection="1">
      <alignment horizontal="left" indent="1"/>
      <protection locked="0"/>
    </xf>
    <xf numFmtId="3" fontId="0" fillId="15" borderId="10" xfId="0" applyNumberFormat="1" applyFill="1" applyBorder="1" applyAlignment="1" applyProtection="1">
      <alignment horizontal="left" indent="3"/>
      <protection locked="0"/>
    </xf>
    <xf numFmtId="3" fontId="0" fillId="15" borderId="17" xfId="0" applyNumberFormat="1" applyFill="1" applyBorder="1" applyAlignment="1" applyProtection="1">
      <alignment horizontal="left" indent="3"/>
      <protection locked="0"/>
    </xf>
    <xf numFmtId="2" fontId="0" fillId="12" borderId="17" xfId="0" applyNumberFormat="1" applyFont="1" applyFill="1" applyBorder="1" applyAlignment="1" applyProtection="1">
      <alignment horizontal="left" indent="2"/>
      <protection locked="0"/>
    </xf>
    <xf numFmtId="2" fontId="0" fillId="12" borderId="18" xfId="0" applyNumberFormat="1" applyFont="1" applyFill="1" applyBorder="1" applyAlignment="1" applyProtection="1">
      <alignment horizontal="left" indent="1"/>
      <protection locked="0"/>
    </xf>
    <xf numFmtId="3" fontId="0" fillId="12" borderId="10" xfId="0" applyNumberFormat="1" applyFill="1" applyBorder="1" applyAlignment="1" applyProtection="1">
      <alignment horizontal="left" indent="3"/>
      <protection locked="0"/>
    </xf>
    <xf numFmtId="3" fontId="0" fillId="12" borderId="17" xfId="0" applyNumberFormat="1" applyFill="1" applyBorder="1" applyAlignment="1" applyProtection="1">
      <alignment horizontal="left" indent="3"/>
      <protection locked="0"/>
    </xf>
    <xf numFmtId="0" fontId="0" fillId="12" borderId="1" xfId="0" applyFill="1" applyBorder="1" applyAlignment="1" applyProtection="1">
      <alignment horizontal="left" indent="5"/>
      <protection locked="0"/>
    </xf>
    <xf numFmtId="3" fontId="0" fillId="12" borderId="1" xfId="0" applyNumberFormat="1" applyFill="1" applyBorder="1" applyAlignment="1" applyProtection="1">
      <alignment horizontal="right"/>
      <protection locked="0"/>
    </xf>
    <xf numFmtId="3" fontId="0" fillId="12" borderId="1" xfId="0" applyNumberFormat="1" applyFill="1" applyBorder="1" applyProtection="1">
      <protection locked="0"/>
    </xf>
    <xf numFmtId="0" fontId="0" fillId="12" borderId="1" xfId="0" applyFill="1" applyBorder="1" applyProtection="1">
      <protection locked="0"/>
    </xf>
    <xf numFmtId="0" fontId="0" fillId="12" borderId="14" xfId="0" applyFill="1" applyBorder="1" applyProtection="1">
      <protection locked="0"/>
    </xf>
    <xf numFmtId="1" fontId="0" fillId="11" borderId="1" xfId="0" applyNumberFormat="1" applyFill="1" applyBorder="1" applyAlignment="1">
      <alignment horizontal="right"/>
    </xf>
    <xf numFmtId="0" fontId="5" fillId="12" borderId="1" xfId="0" applyFont="1" applyFill="1" applyBorder="1" applyProtection="1">
      <protection locked="0"/>
    </xf>
    <xf numFmtId="0" fontId="5" fillId="12" borderId="13" xfId="0" applyFont="1" applyFill="1" applyBorder="1" applyProtection="1">
      <protection locked="0"/>
    </xf>
    <xf numFmtId="0" fontId="0" fillId="12" borderId="1" xfId="0" applyFont="1" applyFill="1" applyBorder="1" applyProtection="1">
      <protection locked="0"/>
    </xf>
    <xf numFmtId="0" fontId="0" fillId="12" borderId="9" xfId="0" applyFill="1" applyBorder="1" applyProtection="1">
      <protection locked="0"/>
    </xf>
    <xf numFmtId="0" fontId="0" fillId="11" borderId="0" xfId="0" applyFill="1" applyProtection="1">
      <protection locked="0"/>
    </xf>
    <xf numFmtId="0" fontId="0" fillId="11" borderId="0" xfId="0" applyFill="1" applyAlignment="1" applyProtection="1">
      <alignment horizontal="left"/>
      <protection locked="0"/>
    </xf>
    <xf numFmtId="0" fontId="5" fillId="11" borderId="0" xfId="0" applyFont="1" applyFill="1" applyAlignment="1" applyProtection="1">
      <alignment horizontal="left"/>
      <protection locked="0"/>
    </xf>
    <xf numFmtId="0" fontId="0" fillId="11" borderId="0" xfId="0" applyFill="1" applyAlignment="1" applyProtection="1">
      <alignment horizontal="right"/>
      <protection locked="0"/>
    </xf>
    <xf numFmtId="0" fontId="1" fillId="11" borderId="0" xfId="0" applyFont="1" applyFill="1" applyBorder="1" applyAlignment="1" applyProtection="1">
      <alignment horizontal="left"/>
      <protection locked="0"/>
    </xf>
    <xf numFmtId="0" fontId="8" fillId="11" borderId="0" xfId="0" applyFont="1" applyFill="1" applyProtection="1">
      <protection locked="0"/>
    </xf>
    <xf numFmtId="0" fontId="7" fillId="0" borderId="0" xfId="0" applyFont="1" applyFill="1" applyProtection="1">
      <protection locked="0"/>
    </xf>
    <xf numFmtId="0" fontId="0" fillId="0" borderId="0" xfId="0" applyProtection="1">
      <protection locked="0"/>
    </xf>
    <xf numFmtId="0" fontId="24" fillId="23" borderId="14" xfId="0" applyFont="1" applyFill="1" applyBorder="1" applyProtection="1">
      <protection locked="0"/>
    </xf>
    <xf numFmtId="0" fontId="24" fillId="23" borderId="1" xfId="0" applyFont="1" applyFill="1" applyBorder="1" applyProtection="1">
      <protection locked="0"/>
    </xf>
    <xf numFmtId="1" fontId="5" fillId="12" borderId="1" xfId="0" applyNumberFormat="1" applyFont="1" applyFill="1" applyBorder="1" applyAlignment="1" applyProtection="1">
      <alignment horizontal="right"/>
      <protection locked="0"/>
    </xf>
    <xf numFmtId="0" fontId="0" fillId="0" borderId="3" xfId="0" applyBorder="1"/>
    <xf numFmtId="0" fontId="7" fillId="0" borderId="1" xfId="0" applyFont="1" applyFill="1" applyBorder="1"/>
    <xf numFmtId="0" fontId="0" fillId="0" borderId="1" xfId="0" applyBorder="1" applyAlignment="1">
      <alignment horizontal="left"/>
    </xf>
    <xf numFmtId="0" fontId="6" fillId="11" borderId="0" xfId="0" applyFont="1" applyFill="1" applyAlignment="1" applyProtection="1">
      <alignment horizontal="left"/>
      <protection locked="0"/>
    </xf>
    <xf numFmtId="0" fontId="2" fillId="11" borderId="1" xfId="159" applyFill="1" applyBorder="1" applyProtection="1">
      <protection locked="0"/>
    </xf>
    <xf numFmtId="0" fontId="18" fillId="11" borderId="2" xfId="159" applyFont="1" applyFill="1" applyBorder="1" applyAlignment="1" applyProtection="1">
      <alignment vertical="top"/>
      <protection locked="0"/>
    </xf>
    <xf numFmtId="0" fontId="0" fillId="28" borderId="1" xfId="0" applyFont="1" applyFill="1" applyBorder="1"/>
    <xf numFmtId="0" fontId="0" fillId="28" borderId="1" xfId="0" applyFill="1" applyBorder="1"/>
    <xf numFmtId="0" fontId="0" fillId="29" borderId="1" xfId="0" applyFill="1" applyBorder="1"/>
    <xf numFmtId="166" fontId="0" fillId="29" borderId="1" xfId="0" applyNumberFormat="1" applyFont="1" applyFill="1" applyBorder="1"/>
    <xf numFmtId="168" fontId="0" fillId="15" borderId="1" xfId="0" applyNumberFormat="1" applyFill="1" applyBorder="1" applyProtection="1">
      <protection locked="0"/>
    </xf>
    <xf numFmtId="0" fontId="2" fillId="11" borderId="0" xfId="159" applyFill="1" applyAlignment="1" applyProtection="1">
      <alignment horizontal="left"/>
      <protection locked="0"/>
    </xf>
    <xf numFmtId="0" fontId="4" fillId="11" borderId="0" xfId="0" applyFont="1" applyFill="1" applyBorder="1" applyAlignment="1">
      <alignment horizontal="left" wrapText="1"/>
    </xf>
    <xf numFmtId="0" fontId="4" fillId="11" borderId="6" xfId="0" applyFont="1" applyFill="1" applyBorder="1" applyAlignment="1">
      <alignment horizontal="left" wrapText="1"/>
    </xf>
    <xf numFmtId="0" fontId="4" fillId="11" borderId="2" xfId="0" applyFont="1" applyFill="1" applyBorder="1" applyAlignment="1">
      <alignment horizontal="left" wrapText="1"/>
    </xf>
    <xf numFmtId="0" fontId="4" fillId="11" borderId="8" xfId="0" applyFont="1" applyFill="1" applyBorder="1" applyAlignment="1">
      <alignment horizontal="left" wrapText="1"/>
    </xf>
    <xf numFmtId="0" fontId="0" fillId="11" borderId="5" xfId="0" applyFill="1" applyBorder="1" applyAlignment="1">
      <alignment vertical="top" wrapText="1"/>
    </xf>
    <xf numFmtId="0" fontId="0" fillId="11" borderId="0" xfId="0" applyFill="1" applyBorder="1" applyAlignment="1">
      <alignment vertical="top" wrapText="1"/>
    </xf>
    <xf numFmtId="0" fontId="0" fillId="11" borderId="6" xfId="0" applyFill="1" applyBorder="1" applyAlignment="1">
      <alignment vertical="top" wrapText="1"/>
    </xf>
    <xf numFmtId="0" fontId="0" fillId="11" borderId="7" xfId="0" applyFill="1" applyBorder="1" applyAlignment="1">
      <alignment horizontal="left" wrapText="1"/>
    </xf>
    <xf numFmtId="0" fontId="0" fillId="11" borderId="2" xfId="0" applyFill="1" applyBorder="1" applyAlignment="1">
      <alignment horizontal="left" wrapText="1"/>
    </xf>
    <xf numFmtId="0" fontId="0" fillId="11" borderId="8" xfId="0" applyFill="1" applyBorder="1" applyAlignment="1">
      <alignment horizontal="left" wrapText="1"/>
    </xf>
    <xf numFmtId="0" fontId="11" fillId="9" borderId="17" xfId="0" applyFont="1" applyFill="1" applyBorder="1" applyAlignment="1">
      <alignment horizontal="center"/>
    </xf>
    <xf numFmtId="0" fontId="11" fillId="9" borderId="9" xfId="0" applyFont="1" applyFill="1" applyBorder="1" applyAlignment="1">
      <alignment horizontal="center"/>
    </xf>
    <xf numFmtId="0" fontId="7" fillId="11" borderId="0" xfId="0" applyFont="1" applyFill="1" applyAlignment="1">
      <alignment horizontal="left" wrapText="1"/>
    </xf>
    <xf numFmtId="0" fontId="11" fillId="14" borderId="3" xfId="0" applyFont="1" applyFill="1" applyBorder="1" applyAlignment="1">
      <alignment horizontal="center"/>
    </xf>
    <xf numFmtId="0" fontId="11" fillId="14" borderId="4" xfId="0" applyFont="1" applyFill="1" applyBorder="1" applyAlignment="1">
      <alignment horizontal="center"/>
    </xf>
    <xf numFmtId="0" fontId="11" fillId="14" borderId="3" xfId="0" applyFont="1" applyFill="1" applyBorder="1" applyAlignment="1">
      <alignment horizontal="left" vertical="center"/>
    </xf>
    <xf numFmtId="0" fontId="11" fillId="14" borderId="7" xfId="0" applyFont="1" applyFill="1" applyBorder="1" applyAlignment="1">
      <alignment horizontal="left" vertical="center"/>
    </xf>
    <xf numFmtId="0" fontId="11" fillId="18" borderId="12" xfId="0" applyFont="1" applyFill="1" applyBorder="1" applyAlignment="1">
      <alignment horizontal="center" vertical="center"/>
    </xf>
    <xf numFmtId="0" fontId="11" fillId="18" borderId="14" xfId="0" applyFont="1" applyFill="1" applyBorder="1" applyAlignment="1">
      <alignment horizontal="center" vertical="center"/>
    </xf>
    <xf numFmtId="0" fontId="11" fillId="14" borderId="12" xfId="0" applyFont="1" applyFill="1" applyBorder="1" applyAlignment="1">
      <alignment horizontal="center" vertical="center"/>
    </xf>
    <xf numFmtId="0" fontId="11" fillId="14" borderId="14" xfId="0" applyFont="1" applyFill="1" applyBorder="1" applyAlignment="1">
      <alignment horizontal="center" vertical="center"/>
    </xf>
    <xf numFmtId="0" fontId="11" fillId="14" borderId="12" xfId="0" applyFont="1" applyFill="1" applyBorder="1" applyAlignment="1">
      <alignment horizontal="left" vertical="center"/>
    </xf>
    <xf numFmtId="0" fontId="11" fillId="14" borderId="14" xfId="0" applyFont="1" applyFill="1" applyBorder="1" applyAlignment="1">
      <alignment horizontal="left" vertical="center"/>
    </xf>
    <xf numFmtId="0" fontId="18" fillId="0" borderId="0" xfId="159" applyFont="1" applyFill="1" applyBorder="1" applyAlignment="1" applyProtection="1">
      <alignment horizontal="left"/>
      <protection locked="0"/>
    </xf>
    <xf numFmtId="0" fontId="5" fillId="11" borderId="9" xfId="0" applyFont="1" applyFill="1" applyBorder="1" applyAlignment="1">
      <alignment horizontal="left" vertical="center" wrapText="1"/>
    </xf>
    <xf numFmtId="0" fontId="5" fillId="11" borderId="10" xfId="0" applyFont="1" applyFill="1" applyBorder="1" applyAlignment="1">
      <alignment horizontal="left" vertical="center" wrapText="1"/>
    </xf>
    <xf numFmtId="0" fontId="5" fillId="11" borderId="11" xfId="0" applyFont="1" applyFill="1" applyBorder="1" applyAlignment="1">
      <alignment horizontal="left" vertical="center" wrapText="1"/>
    </xf>
    <xf numFmtId="0" fontId="11" fillId="14" borderId="9" xfId="0" applyFont="1" applyFill="1" applyBorder="1" applyAlignment="1">
      <alignment horizontal="left"/>
    </xf>
    <xf numFmtId="0" fontId="11" fillId="14" borderId="10" xfId="0" applyFont="1" applyFill="1" applyBorder="1" applyAlignment="1">
      <alignment horizontal="left"/>
    </xf>
    <xf numFmtId="0" fontId="11" fillId="14" borderId="11" xfId="0" applyFont="1" applyFill="1" applyBorder="1" applyAlignment="1">
      <alignment horizontal="left"/>
    </xf>
    <xf numFmtId="0" fontId="18" fillId="0" borderId="0" xfId="159" applyFont="1" applyFill="1" applyBorder="1" applyAlignment="1">
      <alignment horizontal="left"/>
    </xf>
    <xf numFmtId="0" fontId="11" fillId="20" borderId="12" xfId="0" applyFont="1" applyFill="1" applyBorder="1" applyAlignment="1">
      <alignment horizontal="left" vertical="center"/>
    </xf>
    <xf numFmtId="0" fontId="11" fillId="20" borderId="14" xfId="0" applyFont="1" applyFill="1" applyBorder="1" applyAlignment="1">
      <alignment horizontal="left" vertical="center"/>
    </xf>
    <xf numFmtId="0" fontId="0" fillId="0" borderId="5" xfId="0" applyBorder="1" applyAlignment="1">
      <alignment horizontal="left" wrapText="1"/>
    </xf>
    <xf numFmtId="0" fontId="0" fillId="0" borderId="0" xfId="0" applyBorder="1" applyAlignment="1">
      <alignment horizontal="left" wrapText="1"/>
    </xf>
    <xf numFmtId="0" fontId="0" fillId="0" borderId="6" xfId="0" applyBorder="1" applyAlignment="1">
      <alignment horizontal="left" wrapText="1"/>
    </xf>
    <xf numFmtId="0" fontId="0" fillId="0" borderId="7" xfId="0" applyBorder="1" applyAlignment="1">
      <alignment horizontal="left" wrapText="1"/>
    </xf>
    <xf numFmtId="0" fontId="0" fillId="0" borderId="2" xfId="0" applyBorder="1" applyAlignment="1">
      <alignment horizontal="left" wrapText="1"/>
    </xf>
    <xf numFmtId="0" fontId="0" fillId="0" borderId="8" xfId="0" applyBorder="1" applyAlignment="1">
      <alignment horizontal="left" wrapText="1"/>
    </xf>
    <xf numFmtId="0" fontId="0" fillId="4" borderId="9" xfId="0" applyFill="1" applyBorder="1" applyAlignment="1">
      <alignment horizontal="left" vertical="center" wrapText="1"/>
    </xf>
    <xf numFmtId="0" fontId="0" fillId="4" borderId="10" xfId="0" applyFill="1" applyBorder="1" applyAlignment="1">
      <alignment horizontal="left" vertical="center" wrapText="1"/>
    </xf>
    <xf numFmtId="0" fontId="0" fillId="4" borderId="11" xfId="0" applyFill="1" applyBorder="1" applyAlignment="1">
      <alignment horizontal="left" vertical="center" wrapText="1"/>
    </xf>
    <xf numFmtId="0" fontId="0" fillId="4" borderId="5" xfId="0" applyFill="1" applyBorder="1" applyAlignment="1">
      <alignment horizontal="left" wrapText="1"/>
    </xf>
    <xf numFmtId="0" fontId="0" fillId="4" borderId="0" xfId="0" applyFill="1" applyBorder="1" applyAlignment="1">
      <alignment horizontal="left" wrapText="1"/>
    </xf>
  </cellXfs>
  <cellStyles count="890">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xfId="17" builtinId="8" hidden="1"/>
    <cellStyle name="Lien hypertexte" xfId="19" builtinId="8" hidden="1"/>
    <cellStyle name="Lien hypertexte" xfId="21" builtinId="8" hidden="1"/>
    <cellStyle name="Lien hypertexte" xfId="23" builtinId="8" hidden="1"/>
    <cellStyle name="Lien hypertexte" xfId="25" builtinId="8" hidden="1"/>
    <cellStyle name="Lien hypertexte" xfId="27" builtinId="8" hidden="1"/>
    <cellStyle name="Lien hypertexte" xfId="29" builtinId="8" hidden="1"/>
    <cellStyle name="Lien hypertexte" xfId="31" builtinId="8" hidden="1"/>
    <cellStyle name="Lien hypertexte" xfId="33" builtinId="8" hidden="1"/>
    <cellStyle name="Lien hypertexte" xfId="35" builtinId="8" hidden="1"/>
    <cellStyle name="Lien hypertexte" xfId="37" builtinId="8" hidden="1"/>
    <cellStyle name="Lien hypertexte" xfId="39" builtinId="8" hidden="1"/>
    <cellStyle name="Lien hypertexte" xfId="41" builtinId="8" hidden="1"/>
    <cellStyle name="Lien hypertexte" xfId="43" builtinId="8" hidden="1"/>
    <cellStyle name="Lien hypertexte" xfId="45" builtinId="8" hidden="1"/>
    <cellStyle name="Lien hypertexte" xfId="47" builtinId="8" hidden="1"/>
    <cellStyle name="Lien hypertexte" xfId="49" builtinId="8" hidden="1"/>
    <cellStyle name="Lien hypertexte" xfId="51" builtinId="8" hidden="1"/>
    <cellStyle name="Lien hypertexte" xfId="53" builtinId="8" hidden="1"/>
    <cellStyle name="Lien hypertexte" xfId="55" builtinId="8" hidden="1"/>
    <cellStyle name="Lien hypertexte" xfId="57" builtinId="8" hidden="1"/>
    <cellStyle name="Lien hypertexte" xfId="59" builtinId="8" hidden="1"/>
    <cellStyle name="Lien hypertexte" xfId="61" builtinId="8" hidden="1"/>
    <cellStyle name="Lien hypertexte" xfId="63" builtinId="8" hidden="1"/>
    <cellStyle name="Lien hypertexte" xfId="65" builtinId="8" hidden="1"/>
    <cellStyle name="Lien hypertexte" xfId="67" builtinId="8" hidden="1"/>
    <cellStyle name="Lien hypertexte" xfId="69" builtinId="8" hidden="1"/>
    <cellStyle name="Lien hypertexte" xfId="71" builtinId="8" hidden="1"/>
    <cellStyle name="Lien hypertexte" xfId="73" builtinId="8" hidden="1"/>
    <cellStyle name="Lien hypertexte" xfId="75" builtinId="8" hidden="1"/>
    <cellStyle name="Lien hypertexte" xfId="77" builtinId="8" hidden="1"/>
    <cellStyle name="Lien hypertexte" xfId="79" builtinId="8" hidden="1"/>
    <cellStyle name="Lien hypertexte" xfId="81" builtinId="8" hidden="1"/>
    <cellStyle name="Lien hypertexte" xfId="83" builtinId="8" hidden="1"/>
    <cellStyle name="Lien hypertexte" xfId="85" builtinId="8" hidden="1"/>
    <cellStyle name="Lien hypertexte" xfId="87" builtinId="8" hidden="1"/>
    <cellStyle name="Lien hypertexte" xfId="89" builtinId="8" hidden="1"/>
    <cellStyle name="Lien hypertexte" xfId="91" builtinId="8" hidden="1"/>
    <cellStyle name="Lien hypertexte" xfId="93" builtinId="8" hidden="1"/>
    <cellStyle name="Lien hypertexte" xfId="95" builtinId="8" hidden="1"/>
    <cellStyle name="Lien hypertexte" xfId="97" builtinId="8" hidden="1"/>
    <cellStyle name="Lien hypertexte" xfId="99" builtinId="8" hidden="1"/>
    <cellStyle name="Lien hypertexte" xfId="101" builtinId="8" hidden="1"/>
    <cellStyle name="Lien hypertexte" xfId="103" builtinId="8" hidden="1"/>
    <cellStyle name="Lien hypertexte" xfId="105" builtinId="8" hidden="1"/>
    <cellStyle name="Lien hypertexte" xfId="107" builtinId="8" hidden="1"/>
    <cellStyle name="Lien hypertexte" xfId="109" builtinId="8" hidden="1"/>
    <cellStyle name="Lien hypertexte" xfId="111" builtinId="8" hidden="1"/>
    <cellStyle name="Lien hypertexte" xfId="113" builtinId="8" hidden="1"/>
    <cellStyle name="Lien hypertexte" xfId="115" builtinId="8" hidden="1"/>
    <cellStyle name="Lien hypertexte" xfId="117" builtinId="8" hidden="1"/>
    <cellStyle name="Lien hypertexte" xfId="119" builtinId="8" hidden="1"/>
    <cellStyle name="Lien hypertexte" xfId="121" builtinId="8" hidden="1"/>
    <cellStyle name="Lien hypertexte" xfId="123" builtinId="8" hidden="1"/>
    <cellStyle name="Lien hypertexte" xfId="125" builtinId="8" hidden="1"/>
    <cellStyle name="Lien hypertexte" xfId="127" builtinId="8" hidden="1"/>
    <cellStyle name="Lien hypertexte" xfId="129" builtinId="8" hidden="1"/>
    <cellStyle name="Lien hypertexte" xfId="131" builtinId="8" hidden="1"/>
    <cellStyle name="Lien hypertexte" xfId="133" builtinId="8" hidden="1"/>
    <cellStyle name="Lien hypertexte" xfId="135" builtinId="8" hidden="1"/>
    <cellStyle name="Lien hypertexte" xfId="137" builtinId="8" hidden="1"/>
    <cellStyle name="Lien hypertexte" xfId="139" builtinId="8" hidden="1"/>
    <cellStyle name="Lien hypertexte" xfId="141" builtinId="8" hidden="1"/>
    <cellStyle name="Lien hypertexte" xfId="143" builtinId="8" hidden="1"/>
    <cellStyle name="Lien hypertexte" xfId="145" builtinId="8" hidden="1"/>
    <cellStyle name="Lien hypertexte" xfId="147" builtinId="8" hidden="1"/>
    <cellStyle name="Lien hypertexte" xfId="149" builtinId="8" hidden="1"/>
    <cellStyle name="Lien hypertexte" xfId="151" builtinId="8" hidden="1"/>
    <cellStyle name="Lien hypertexte" xfId="153" builtinId="8" hidden="1"/>
    <cellStyle name="Lien hypertexte" xfId="155" builtinId="8" hidden="1"/>
    <cellStyle name="Lien hypertexte" xfId="157" builtinId="8" hidden="1"/>
    <cellStyle name="Lien hypertexte" xfId="159" builtinId="8"/>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Lien hypertexte visité" xfId="18" builtinId="9" hidden="1"/>
    <cellStyle name="Lien hypertexte visité" xfId="20" builtinId="9" hidden="1"/>
    <cellStyle name="Lien hypertexte visité" xfId="22" builtinId="9" hidden="1"/>
    <cellStyle name="Lien hypertexte visité" xfId="24" builtinId="9" hidden="1"/>
    <cellStyle name="Lien hypertexte visité" xfId="26" builtinId="9" hidden="1"/>
    <cellStyle name="Lien hypertexte visité" xfId="28" builtinId="9" hidden="1"/>
    <cellStyle name="Lien hypertexte visité" xfId="30" builtinId="9" hidden="1"/>
    <cellStyle name="Lien hypertexte visité" xfId="32" builtinId="9" hidden="1"/>
    <cellStyle name="Lien hypertexte visité" xfId="34" builtinId="9" hidden="1"/>
    <cellStyle name="Lien hypertexte visité" xfId="36" builtinId="9" hidden="1"/>
    <cellStyle name="Lien hypertexte visité" xfId="38" builtinId="9" hidden="1"/>
    <cellStyle name="Lien hypertexte visité" xfId="40" builtinId="9" hidden="1"/>
    <cellStyle name="Lien hypertexte visité" xfId="42" builtinId="9" hidden="1"/>
    <cellStyle name="Lien hypertexte visité" xfId="44" builtinId="9" hidden="1"/>
    <cellStyle name="Lien hypertexte visité" xfId="46" builtinId="9" hidden="1"/>
    <cellStyle name="Lien hypertexte visité" xfId="48" builtinId="9" hidden="1"/>
    <cellStyle name="Lien hypertexte visité" xfId="50" builtinId="9" hidden="1"/>
    <cellStyle name="Lien hypertexte visité" xfId="52" builtinId="9" hidden="1"/>
    <cellStyle name="Lien hypertexte visité" xfId="54" builtinId="9" hidden="1"/>
    <cellStyle name="Lien hypertexte visité" xfId="56" builtinId="9" hidden="1"/>
    <cellStyle name="Lien hypertexte visité" xfId="58" builtinId="9" hidden="1"/>
    <cellStyle name="Lien hypertexte visité" xfId="60" builtinId="9" hidden="1"/>
    <cellStyle name="Lien hypertexte visité" xfId="62" builtinId="9" hidden="1"/>
    <cellStyle name="Lien hypertexte visité" xfId="64" builtinId="9" hidden="1"/>
    <cellStyle name="Lien hypertexte visité" xfId="66" builtinId="9" hidden="1"/>
    <cellStyle name="Lien hypertexte visité" xfId="68" builtinId="9" hidden="1"/>
    <cellStyle name="Lien hypertexte visité" xfId="70" builtinId="9" hidden="1"/>
    <cellStyle name="Lien hypertexte visité" xfId="72" builtinId="9" hidden="1"/>
    <cellStyle name="Lien hypertexte visité" xfId="74" builtinId="9" hidden="1"/>
    <cellStyle name="Lien hypertexte visité" xfId="76" builtinId="9" hidden="1"/>
    <cellStyle name="Lien hypertexte visité" xfId="78" builtinId="9" hidden="1"/>
    <cellStyle name="Lien hypertexte visité" xfId="80" builtinId="9" hidden="1"/>
    <cellStyle name="Lien hypertexte visité" xfId="82" builtinId="9" hidden="1"/>
    <cellStyle name="Lien hypertexte visité" xfId="84" builtinId="9" hidden="1"/>
    <cellStyle name="Lien hypertexte visité" xfId="86" builtinId="9" hidden="1"/>
    <cellStyle name="Lien hypertexte visité" xfId="88" builtinId="9" hidden="1"/>
    <cellStyle name="Lien hypertexte visité" xfId="90" builtinId="9" hidden="1"/>
    <cellStyle name="Lien hypertexte visité" xfId="92" builtinId="9" hidden="1"/>
    <cellStyle name="Lien hypertexte visité" xfId="94" builtinId="9" hidden="1"/>
    <cellStyle name="Lien hypertexte visité" xfId="96" builtinId="9" hidden="1"/>
    <cellStyle name="Lien hypertexte visité" xfId="98" builtinId="9" hidden="1"/>
    <cellStyle name="Lien hypertexte visité" xfId="100" builtinId="9" hidden="1"/>
    <cellStyle name="Lien hypertexte visité" xfId="102" builtinId="9" hidden="1"/>
    <cellStyle name="Lien hypertexte visité" xfId="104" builtinId="9" hidden="1"/>
    <cellStyle name="Lien hypertexte visité" xfId="106" builtinId="9" hidden="1"/>
    <cellStyle name="Lien hypertexte visité" xfId="108" builtinId="9" hidden="1"/>
    <cellStyle name="Lien hypertexte visité" xfId="110" builtinId="9" hidden="1"/>
    <cellStyle name="Lien hypertexte visité" xfId="112" builtinId="9" hidden="1"/>
    <cellStyle name="Lien hypertexte visité" xfId="114" builtinId="9" hidden="1"/>
    <cellStyle name="Lien hypertexte visité" xfId="116" builtinId="9" hidden="1"/>
    <cellStyle name="Lien hypertexte visité" xfId="118" builtinId="9" hidden="1"/>
    <cellStyle name="Lien hypertexte visité" xfId="120" builtinId="9" hidden="1"/>
    <cellStyle name="Lien hypertexte visité" xfId="122" builtinId="9" hidden="1"/>
    <cellStyle name="Lien hypertexte visité" xfId="124" builtinId="9" hidden="1"/>
    <cellStyle name="Lien hypertexte visité" xfId="126" builtinId="9" hidden="1"/>
    <cellStyle name="Lien hypertexte visité" xfId="128" builtinId="9" hidden="1"/>
    <cellStyle name="Lien hypertexte visité" xfId="130" builtinId="9" hidden="1"/>
    <cellStyle name="Lien hypertexte visité" xfId="132" builtinId="9" hidden="1"/>
    <cellStyle name="Lien hypertexte visité" xfId="134" builtinId="9" hidden="1"/>
    <cellStyle name="Lien hypertexte visité" xfId="136" builtinId="9" hidden="1"/>
    <cellStyle name="Lien hypertexte visité" xfId="138" builtinId="9" hidden="1"/>
    <cellStyle name="Lien hypertexte visité" xfId="140" builtinId="9" hidden="1"/>
    <cellStyle name="Lien hypertexte visité" xfId="142" builtinId="9" hidden="1"/>
    <cellStyle name="Lien hypertexte visité" xfId="144" builtinId="9" hidden="1"/>
    <cellStyle name="Lien hypertexte visité" xfId="146" builtinId="9" hidden="1"/>
    <cellStyle name="Lien hypertexte visité" xfId="148" builtinId="9" hidden="1"/>
    <cellStyle name="Lien hypertexte visité" xfId="150" builtinId="9" hidden="1"/>
    <cellStyle name="Lien hypertexte visité" xfId="152" builtinId="9" hidden="1"/>
    <cellStyle name="Lien hypertexte visité" xfId="154" builtinId="9" hidden="1"/>
    <cellStyle name="Lien hypertexte visité" xfId="156" builtinId="9" hidden="1"/>
    <cellStyle name="Lien hypertexte visité" xfId="158" builtinId="9" hidden="1"/>
    <cellStyle name="Lien hypertexte visité" xfId="160" builtinId="9" hidden="1"/>
    <cellStyle name="Lien hypertexte visité" xfId="161" builtinId="9" hidden="1"/>
    <cellStyle name="Lien hypertexte visité" xfId="162" builtinId="9" hidden="1"/>
    <cellStyle name="Lien hypertexte visité" xfId="163" builtinId="9" hidden="1"/>
    <cellStyle name="Lien hypertexte visité" xfId="164" builtinId="9" hidden="1"/>
    <cellStyle name="Lien hypertexte visité" xfId="165" builtinId="9" hidden="1"/>
    <cellStyle name="Lien hypertexte visité" xfId="166" builtinId="9" hidden="1"/>
    <cellStyle name="Lien hypertexte visité" xfId="167" builtinId="9" hidden="1"/>
    <cellStyle name="Lien hypertexte visité" xfId="168" builtinId="9" hidden="1"/>
    <cellStyle name="Lien hypertexte visité" xfId="169" builtinId="9" hidden="1"/>
    <cellStyle name="Lien hypertexte visité" xfId="170" builtinId="9" hidden="1"/>
    <cellStyle name="Lien hypertexte visité" xfId="171" builtinId="9" hidden="1"/>
    <cellStyle name="Lien hypertexte visité" xfId="172" builtinId="9" hidden="1"/>
    <cellStyle name="Lien hypertexte visité" xfId="173" builtinId="9" hidden="1"/>
    <cellStyle name="Lien hypertexte visité" xfId="174" builtinId="9" hidden="1"/>
    <cellStyle name="Lien hypertexte visité" xfId="175" builtinId="9" hidden="1"/>
    <cellStyle name="Lien hypertexte visité" xfId="176" builtinId="9" hidden="1"/>
    <cellStyle name="Lien hypertexte visité" xfId="177" builtinId="9" hidden="1"/>
    <cellStyle name="Lien hypertexte visité" xfId="178" builtinId="9" hidden="1"/>
    <cellStyle name="Lien hypertexte visité" xfId="179" builtinId="9" hidden="1"/>
    <cellStyle name="Lien hypertexte visité" xfId="180" builtinId="9" hidden="1"/>
    <cellStyle name="Lien hypertexte visité" xfId="181" builtinId="9" hidden="1"/>
    <cellStyle name="Lien hypertexte visité" xfId="182" builtinId="9" hidden="1"/>
    <cellStyle name="Lien hypertexte visité" xfId="183" builtinId="9" hidden="1"/>
    <cellStyle name="Lien hypertexte visité" xfId="184" builtinId="9" hidden="1"/>
    <cellStyle name="Lien hypertexte visité" xfId="185" builtinId="9" hidden="1"/>
    <cellStyle name="Lien hypertexte visité" xfId="186" builtinId="9" hidden="1"/>
    <cellStyle name="Lien hypertexte visité" xfId="187" builtinId="9" hidden="1"/>
    <cellStyle name="Lien hypertexte visité" xfId="188" builtinId="9" hidden="1"/>
    <cellStyle name="Lien hypertexte visité" xfId="189" builtinId="9" hidden="1"/>
    <cellStyle name="Lien hypertexte visité" xfId="190" builtinId="9" hidden="1"/>
    <cellStyle name="Lien hypertexte visité" xfId="191" builtinId="9" hidden="1"/>
    <cellStyle name="Lien hypertexte visité" xfId="192" builtinId="9" hidden="1"/>
    <cellStyle name="Lien hypertexte visité" xfId="193" builtinId="9" hidden="1"/>
    <cellStyle name="Lien hypertexte visité" xfId="194" builtinId="9" hidden="1"/>
    <cellStyle name="Lien hypertexte visité" xfId="195" builtinId="9" hidden="1"/>
    <cellStyle name="Lien hypertexte visité" xfId="196" builtinId="9" hidden="1"/>
    <cellStyle name="Lien hypertexte visité" xfId="197" builtinId="9" hidden="1"/>
    <cellStyle name="Lien hypertexte visité" xfId="198" builtinId="9" hidden="1"/>
    <cellStyle name="Lien hypertexte visité" xfId="199" builtinId="9" hidden="1"/>
    <cellStyle name="Lien hypertexte visité" xfId="200" builtinId="9" hidden="1"/>
    <cellStyle name="Lien hypertexte visité" xfId="201" builtinId="9" hidden="1"/>
    <cellStyle name="Lien hypertexte visité" xfId="202" builtinId="9" hidden="1"/>
    <cellStyle name="Lien hypertexte visité" xfId="203" builtinId="9" hidden="1"/>
    <cellStyle name="Lien hypertexte visité" xfId="204" builtinId="9" hidden="1"/>
    <cellStyle name="Lien hypertexte visité" xfId="205" builtinId="9" hidden="1"/>
    <cellStyle name="Lien hypertexte visité" xfId="206" builtinId="9" hidden="1"/>
    <cellStyle name="Lien hypertexte visité" xfId="207" builtinId="9" hidden="1"/>
    <cellStyle name="Lien hypertexte visité" xfId="208" builtinId="9" hidden="1"/>
    <cellStyle name="Lien hypertexte visité" xfId="209" builtinId="9" hidden="1"/>
    <cellStyle name="Lien hypertexte visité" xfId="210" builtinId="9" hidden="1"/>
    <cellStyle name="Lien hypertexte visité" xfId="211" builtinId="9" hidden="1"/>
    <cellStyle name="Lien hypertexte visité" xfId="212" builtinId="9" hidden="1"/>
    <cellStyle name="Lien hypertexte visité" xfId="213" builtinId="9" hidden="1"/>
    <cellStyle name="Lien hypertexte visité" xfId="214" builtinId="9" hidden="1"/>
    <cellStyle name="Lien hypertexte visité" xfId="215" builtinId="9" hidden="1"/>
    <cellStyle name="Lien hypertexte visité" xfId="216" builtinId="9" hidden="1"/>
    <cellStyle name="Lien hypertexte visité" xfId="217" builtinId="9" hidden="1"/>
    <cellStyle name="Lien hypertexte visité" xfId="218" builtinId="9" hidden="1"/>
    <cellStyle name="Lien hypertexte visité" xfId="219" builtinId="9" hidden="1"/>
    <cellStyle name="Lien hypertexte visité" xfId="220" builtinId="9" hidden="1"/>
    <cellStyle name="Lien hypertexte visité" xfId="221" builtinId="9" hidden="1"/>
    <cellStyle name="Lien hypertexte visité" xfId="222" builtinId="9" hidden="1"/>
    <cellStyle name="Lien hypertexte visité" xfId="223" builtinId="9" hidden="1"/>
    <cellStyle name="Lien hypertexte visité" xfId="224" builtinId="9" hidden="1"/>
    <cellStyle name="Lien hypertexte visité" xfId="225" builtinId="9" hidden="1"/>
    <cellStyle name="Lien hypertexte visité" xfId="226" builtinId="9" hidden="1"/>
    <cellStyle name="Lien hypertexte visité" xfId="227" builtinId="9" hidden="1"/>
    <cellStyle name="Lien hypertexte visité" xfId="228" builtinId="9" hidden="1"/>
    <cellStyle name="Lien hypertexte visité" xfId="229" builtinId="9" hidden="1"/>
    <cellStyle name="Lien hypertexte visité" xfId="230" builtinId="9" hidden="1"/>
    <cellStyle name="Lien hypertexte visité" xfId="231" builtinId="9" hidden="1"/>
    <cellStyle name="Lien hypertexte visité" xfId="232" builtinId="9" hidden="1"/>
    <cellStyle name="Lien hypertexte visité" xfId="233" builtinId="9" hidden="1"/>
    <cellStyle name="Lien hypertexte visité" xfId="234" builtinId="9" hidden="1"/>
    <cellStyle name="Lien hypertexte visité" xfId="235" builtinId="9" hidden="1"/>
    <cellStyle name="Lien hypertexte visité" xfId="236" builtinId="9" hidden="1"/>
    <cellStyle name="Lien hypertexte visité" xfId="237" builtinId="9" hidden="1"/>
    <cellStyle name="Lien hypertexte visité" xfId="238" builtinId="9" hidden="1"/>
    <cellStyle name="Lien hypertexte visité" xfId="239" builtinId="9" hidden="1"/>
    <cellStyle name="Lien hypertexte visité" xfId="240" builtinId="9" hidden="1"/>
    <cellStyle name="Lien hypertexte visité" xfId="241" builtinId="9" hidden="1"/>
    <cellStyle name="Lien hypertexte visité" xfId="242" builtinId="9" hidden="1"/>
    <cellStyle name="Lien hypertexte visité" xfId="243" builtinId="9" hidden="1"/>
    <cellStyle name="Lien hypertexte visité" xfId="244" builtinId="9" hidden="1"/>
    <cellStyle name="Lien hypertexte visité" xfId="245" builtinId="9" hidden="1"/>
    <cellStyle name="Lien hypertexte visité" xfId="246" builtinId="9" hidden="1"/>
    <cellStyle name="Lien hypertexte visité" xfId="247" builtinId="9" hidden="1"/>
    <cellStyle name="Lien hypertexte visité" xfId="248" builtinId="9" hidden="1"/>
    <cellStyle name="Lien hypertexte visité" xfId="249" builtinId="9" hidden="1"/>
    <cellStyle name="Lien hypertexte visité" xfId="250" builtinId="9" hidden="1"/>
    <cellStyle name="Lien hypertexte visité" xfId="251" builtinId="9" hidden="1"/>
    <cellStyle name="Lien hypertexte visité" xfId="252" builtinId="9" hidden="1"/>
    <cellStyle name="Lien hypertexte visité" xfId="253" builtinId="9" hidden="1"/>
    <cellStyle name="Lien hypertexte visité" xfId="254" builtinId="9" hidden="1"/>
    <cellStyle name="Lien hypertexte visité" xfId="255" builtinId="9" hidden="1"/>
    <cellStyle name="Lien hypertexte visité" xfId="256" builtinId="9" hidden="1"/>
    <cellStyle name="Lien hypertexte visité" xfId="257" builtinId="9" hidden="1"/>
    <cellStyle name="Lien hypertexte visité" xfId="258" builtinId="9" hidden="1"/>
    <cellStyle name="Lien hypertexte visité" xfId="259" builtinId="9" hidden="1"/>
    <cellStyle name="Lien hypertexte visité" xfId="260" builtinId="9" hidden="1"/>
    <cellStyle name="Lien hypertexte visité" xfId="261" builtinId="9" hidden="1"/>
    <cellStyle name="Lien hypertexte visité" xfId="262" builtinId="9" hidden="1"/>
    <cellStyle name="Lien hypertexte visité" xfId="263" builtinId="9" hidden="1"/>
    <cellStyle name="Lien hypertexte visité" xfId="264" builtinId="9" hidden="1"/>
    <cellStyle name="Lien hypertexte visité" xfId="265" builtinId="9" hidden="1"/>
    <cellStyle name="Lien hypertexte visité" xfId="266" builtinId="9" hidden="1"/>
    <cellStyle name="Lien hypertexte visité" xfId="267" builtinId="9" hidden="1"/>
    <cellStyle name="Lien hypertexte visité" xfId="268" builtinId="9" hidden="1"/>
    <cellStyle name="Lien hypertexte visité" xfId="269" builtinId="9" hidden="1"/>
    <cellStyle name="Lien hypertexte visité" xfId="270" builtinId="9" hidden="1"/>
    <cellStyle name="Lien hypertexte visité" xfId="271" builtinId="9" hidden="1"/>
    <cellStyle name="Lien hypertexte visité" xfId="272" builtinId="9" hidden="1"/>
    <cellStyle name="Lien hypertexte visité" xfId="273" builtinId="9" hidden="1"/>
    <cellStyle name="Lien hypertexte visité" xfId="274" builtinId="9" hidden="1"/>
    <cellStyle name="Lien hypertexte visité" xfId="275" builtinId="9" hidden="1"/>
    <cellStyle name="Lien hypertexte visité" xfId="276" builtinId="9" hidden="1"/>
    <cellStyle name="Lien hypertexte visité" xfId="277" builtinId="9" hidden="1"/>
    <cellStyle name="Lien hypertexte visité" xfId="278" builtinId="9" hidden="1"/>
    <cellStyle name="Lien hypertexte visité" xfId="279" builtinId="9" hidden="1"/>
    <cellStyle name="Lien hypertexte visité" xfId="280" builtinId="9" hidden="1"/>
    <cellStyle name="Lien hypertexte visité" xfId="281" builtinId="9" hidden="1"/>
    <cellStyle name="Lien hypertexte visité" xfId="282" builtinId="9" hidden="1"/>
    <cellStyle name="Lien hypertexte visité" xfId="283" builtinId="9" hidden="1"/>
    <cellStyle name="Lien hypertexte visité" xfId="284" builtinId="9" hidden="1"/>
    <cellStyle name="Lien hypertexte visité" xfId="285" builtinId="9" hidden="1"/>
    <cellStyle name="Lien hypertexte visité" xfId="286" builtinId="9" hidden="1"/>
    <cellStyle name="Lien hypertexte visité" xfId="287" builtinId="9" hidden="1"/>
    <cellStyle name="Lien hypertexte visité" xfId="288" builtinId="9" hidden="1"/>
    <cellStyle name="Lien hypertexte visité" xfId="289" builtinId="9" hidden="1"/>
    <cellStyle name="Lien hypertexte visité" xfId="290" builtinId="9" hidden="1"/>
    <cellStyle name="Lien hypertexte visité" xfId="291" builtinId="9" hidden="1"/>
    <cellStyle name="Lien hypertexte visité" xfId="292" builtinId="9" hidden="1"/>
    <cellStyle name="Lien hypertexte visité" xfId="293" builtinId="9" hidden="1"/>
    <cellStyle name="Lien hypertexte visité" xfId="294" builtinId="9" hidden="1"/>
    <cellStyle name="Lien hypertexte visité" xfId="295" builtinId="9" hidden="1"/>
    <cellStyle name="Lien hypertexte visité" xfId="296" builtinId="9" hidden="1"/>
    <cellStyle name="Lien hypertexte visité" xfId="297" builtinId="9" hidden="1"/>
    <cellStyle name="Lien hypertexte visité" xfId="298" builtinId="9" hidden="1"/>
    <cellStyle name="Lien hypertexte visité" xfId="299" builtinId="9" hidden="1"/>
    <cellStyle name="Lien hypertexte visité" xfId="300" builtinId="9" hidden="1"/>
    <cellStyle name="Lien hypertexte visité" xfId="301" builtinId="9" hidden="1"/>
    <cellStyle name="Lien hypertexte visité" xfId="302" builtinId="9" hidden="1"/>
    <cellStyle name="Lien hypertexte visité" xfId="303" builtinId="9" hidden="1"/>
    <cellStyle name="Lien hypertexte visité" xfId="304" builtinId="9" hidden="1"/>
    <cellStyle name="Lien hypertexte visité" xfId="305" builtinId="9" hidden="1"/>
    <cellStyle name="Lien hypertexte visité" xfId="306" builtinId="9" hidden="1"/>
    <cellStyle name="Lien hypertexte visité" xfId="307" builtinId="9" hidden="1"/>
    <cellStyle name="Lien hypertexte visité" xfId="308" builtinId="9" hidden="1"/>
    <cellStyle name="Lien hypertexte visité" xfId="309" builtinId="9" hidden="1"/>
    <cellStyle name="Lien hypertexte visité" xfId="310" builtinId="9" hidden="1"/>
    <cellStyle name="Lien hypertexte visité" xfId="311" builtinId="9" hidden="1"/>
    <cellStyle name="Lien hypertexte visité" xfId="312" builtinId="9" hidden="1"/>
    <cellStyle name="Lien hypertexte visité" xfId="313" builtinId="9" hidden="1"/>
    <cellStyle name="Lien hypertexte visité" xfId="314" builtinId="9" hidden="1"/>
    <cellStyle name="Lien hypertexte visité" xfId="315" builtinId="9" hidden="1"/>
    <cellStyle name="Lien hypertexte visité" xfId="316" builtinId="9" hidden="1"/>
    <cellStyle name="Lien hypertexte visité" xfId="317" builtinId="9" hidden="1"/>
    <cellStyle name="Lien hypertexte visité" xfId="318" builtinId="9" hidden="1"/>
    <cellStyle name="Lien hypertexte visité" xfId="319" builtinId="9" hidden="1"/>
    <cellStyle name="Lien hypertexte visité" xfId="320" builtinId="9" hidden="1"/>
    <cellStyle name="Lien hypertexte visité" xfId="321" builtinId="9" hidden="1"/>
    <cellStyle name="Lien hypertexte visité" xfId="322" builtinId="9" hidden="1"/>
    <cellStyle name="Lien hypertexte visité" xfId="323" builtinId="9" hidden="1"/>
    <cellStyle name="Lien hypertexte visité" xfId="324" builtinId="9" hidden="1"/>
    <cellStyle name="Lien hypertexte visité" xfId="325" builtinId="9" hidden="1"/>
    <cellStyle name="Lien hypertexte visité" xfId="326" builtinId="9" hidden="1"/>
    <cellStyle name="Lien hypertexte visité" xfId="327" builtinId="9" hidden="1"/>
    <cellStyle name="Lien hypertexte visité" xfId="328" builtinId="9" hidden="1"/>
    <cellStyle name="Lien hypertexte visité" xfId="329" builtinId="9" hidden="1"/>
    <cellStyle name="Lien hypertexte visité" xfId="330" builtinId="9" hidden="1"/>
    <cellStyle name="Lien hypertexte visité" xfId="331" builtinId="9" hidden="1"/>
    <cellStyle name="Lien hypertexte visité" xfId="332" builtinId="9" hidden="1"/>
    <cellStyle name="Lien hypertexte visité" xfId="333" builtinId="9" hidden="1"/>
    <cellStyle name="Lien hypertexte visité" xfId="334" builtinId="9" hidden="1"/>
    <cellStyle name="Lien hypertexte visité" xfId="335" builtinId="9" hidden="1"/>
    <cellStyle name="Lien hypertexte visité" xfId="336" builtinId="9" hidden="1"/>
    <cellStyle name="Lien hypertexte visité" xfId="337" builtinId="9" hidden="1"/>
    <cellStyle name="Lien hypertexte visité" xfId="338" builtinId="9" hidden="1"/>
    <cellStyle name="Lien hypertexte visité" xfId="339" builtinId="9" hidden="1"/>
    <cellStyle name="Lien hypertexte visité" xfId="340" builtinId="9" hidden="1"/>
    <cellStyle name="Lien hypertexte visité" xfId="341" builtinId="9" hidden="1"/>
    <cellStyle name="Lien hypertexte visité" xfId="342" builtinId="9" hidden="1"/>
    <cellStyle name="Lien hypertexte visité" xfId="343" builtinId="9" hidden="1"/>
    <cellStyle name="Lien hypertexte visité" xfId="344" builtinId="9" hidden="1"/>
    <cellStyle name="Lien hypertexte visité" xfId="345" builtinId="9" hidden="1"/>
    <cellStyle name="Lien hypertexte visité" xfId="346" builtinId="9" hidden="1"/>
    <cellStyle name="Lien hypertexte visité" xfId="347" builtinId="9" hidden="1"/>
    <cellStyle name="Lien hypertexte visité" xfId="348" builtinId="9" hidden="1"/>
    <cellStyle name="Lien hypertexte visité" xfId="349" builtinId="9" hidden="1"/>
    <cellStyle name="Lien hypertexte visité" xfId="350" builtinId="9" hidden="1"/>
    <cellStyle name="Lien hypertexte visité" xfId="351" builtinId="9" hidden="1"/>
    <cellStyle name="Lien hypertexte visité" xfId="352" builtinId="9" hidden="1"/>
    <cellStyle name="Lien hypertexte visité" xfId="353" builtinId="9" hidden="1"/>
    <cellStyle name="Lien hypertexte visité" xfId="354" builtinId="9" hidden="1"/>
    <cellStyle name="Lien hypertexte visité" xfId="355" builtinId="9" hidden="1"/>
    <cellStyle name="Lien hypertexte visité" xfId="356" builtinId="9" hidden="1"/>
    <cellStyle name="Lien hypertexte visité" xfId="357" builtinId="9" hidden="1"/>
    <cellStyle name="Lien hypertexte visité" xfId="358" builtinId="9" hidden="1"/>
    <cellStyle name="Lien hypertexte visité" xfId="359" builtinId="9" hidden="1"/>
    <cellStyle name="Lien hypertexte visité" xfId="360" builtinId="9" hidden="1"/>
    <cellStyle name="Lien hypertexte visité" xfId="361" builtinId="9" hidden="1"/>
    <cellStyle name="Lien hypertexte visité" xfId="362" builtinId="9" hidden="1"/>
    <cellStyle name="Lien hypertexte visité" xfId="363" builtinId="9" hidden="1"/>
    <cellStyle name="Lien hypertexte visité" xfId="364" builtinId="9" hidden="1"/>
    <cellStyle name="Lien hypertexte visité" xfId="365" builtinId="9" hidden="1"/>
    <cellStyle name="Lien hypertexte visité" xfId="366" builtinId="9" hidden="1"/>
    <cellStyle name="Lien hypertexte visité" xfId="367" builtinId="9" hidden="1"/>
    <cellStyle name="Lien hypertexte visité" xfId="368" builtinId="9" hidden="1"/>
    <cellStyle name="Lien hypertexte visité" xfId="369" builtinId="9" hidden="1"/>
    <cellStyle name="Lien hypertexte visité" xfId="370" builtinId="9" hidden="1"/>
    <cellStyle name="Lien hypertexte visité" xfId="371" builtinId="9" hidden="1"/>
    <cellStyle name="Lien hypertexte visité" xfId="372" builtinId="9" hidden="1"/>
    <cellStyle name="Lien hypertexte visité" xfId="373" builtinId="9" hidden="1"/>
    <cellStyle name="Lien hypertexte visité" xfId="374" builtinId="9" hidden="1"/>
    <cellStyle name="Lien hypertexte visité" xfId="375" builtinId="9" hidden="1"/>
    <cellStyle name="Lien hypertexte visité" xfId="376" builtinId="9" hidden="1"/>
    <cellStyle name="Lien hypertexte visité" xfId="377" builtinId="9" hidden="1"/>
    <cellStyle name="Lien hypertexte visité" xfId="378" builtinId="9" hidden="1"/>
    <cellStyle name="Lien hypertexte visité" xfId="379" builtinId="9" hidden="1"/>
    <cellStyle name="Lien hypertexte visité" xfId="380" builtinId="9" hidden="1"/>
    <cellStyle name="Lien hypertexte visité" xfId="381" builtinId="9" hidden="1"/>
    <cellStyle name="Lien hypertexte visité" xfId="382" builtinId="9" hidden="1"/>
    <cellStyle name="Lien hypertexte visité" xfId="383" builtinId="9" hidden="1"/>
    <cellStyle name="Lien hypertexte visité" xfId="384" builtinId="9" hidden="1"/>
    <cellStyle name="Lien hypertexte visité" xfId="385" builtinId="9" hidden="1"/>
    <cellStyle name="Lien hypertexte visité" xfId="386" builtinId="9" hidden="1"/>
    <cellStyle name="Lien hypertexte visité" xfId="387" builtinId="9" hidden="1"/>
    <cellStyle name="Lien hypertexte visité" xfId="388" builtinId="9" hidden="1"/>
    <cellStyle name="Lien hypertexte visité" xfId="389" builtinId="9" hidden="1"/>
    <cellStyle name="Lien hypertexte visité" xfId="390" builtinId="9" hidden="1"/>
    <cellStyle name="Lien hypertexte visité" xfId="391" builtinId="9" hidden="1"/>
    <cellStyle name="Lien hypertexte visité" xfId="392" builtinId="9" hidden="1"/>
    <cellStyle name="Lien hypertexte visité" xfId="393" builtinId="9" hidden="1"/>
    <cellStyle name="Lien hypertexte visité" xfId="394" builtinId="9" hidden="1"/>
    <cellStyle name="Lien hypertexte visité" xfId="395" builtinId="9" hidden="1"/>
    <cellStyle name="Lien hypertexte visité" xfId="396" builtinId="9" hidden="1"/>
    <cellStyle name="Lien hypertexte visité" xfId="397" builtinId="9" hidden="1"/>
    <cellStyle name="Lien hypertexte visité" xfId="398" builtinId="9" hidden="1"/>
    <cellStyle name="Lien hypertexte visité" xfId="399" builtinId="9" hidden="1"/>
    <cellStyle name="Lien hypertexte visité" xfId="400" builtinId="9" hidden="1"/>
    <cellStyle name="Lien hypertexte visité" xfId="401" builtinId="9" hidden="1"/>
    <cellStyle name="Lien hypertexte visité" xfId="402" builtinId="9" hidden="1"/>
    <cellStyle name="Lien hypertexte visité" xfId="403" builtinId="9" hidden="1"/>
    <cellStyle name="Lien hypertexte visité" xfId="404" builtinId="9" hidden="1"/>
    <cellStyle name="Lien hypertexte visité" xfId="405" builtinId="9" hidden="1"/>
    <cellStyle name="Lien hypertexte visité" xfId="406" builtinId="9" hidden="1"/>
    <cellStyle name="Lien hypertexte visité" xfId="407" builtinId="9" hidden="1"/>
    <cellStyle name="Lien hypertexte visité" xfId="408" builtinId="9" hidden="1"/>
    <cellStyle name="Lien hypertexte visité" xfId="409" builtinId="9" hidden="1"/>
    <cellStyle name="Lien hypertexte visité" xfId="410" builtinId="9" hidden="1"/>
    <cellStyle name="Lien hypertexte visité" xfId="411" builtinId="9" hidden="1"/>
    <cellStyle name="Lien hypertexte visité" xfId="412" builtinId="9" hidden="1"/>
    <cellStyle name="Lien hypertexte visité" xfId="413" builtinId="9" hidden="1"/>
    <cellStyle name="Lien hypertexte visité" xfId="414" builtinId="9" hidden="1"/>
    <cellStyle name="Lien hypertexte visité" xfId="415" builtinId="9" hidden="1"/>
    <cellStyle name="Lien hypertexte visité" xfId="416" builtinId="9" hidden="1"/>
    <cellStyle name="Lien hypertexte visité" xfId="417" builtinId="9" hidden="1"/>
    <cellStyle name="Lien hypertexte visité" xfId="418" builtinId="9" hidden="1"/>
    <cellStyle name="Lien hypertexte visité" xfId="419" builtinId="9" hidden="1"/>
    <cellStyle name="Lien hypertexte visité" xfId="420" builtinId="9" hidden="1"/>
    <cellStyle name="Lien hypertexte visité" xfId="421" builtinId="9" hidden="1"/>
    <cellStyle name="Lien hypertexte visité" xfId="422" builtinId="9" hidden="1"/>
    <cellStyle name="Lien hypertexte visité" xfId="423" builtinId="9" hidden="1"/>
    <cellStyle name="Lien hypertexte visité" xfId="424" builtinId="9" hidden="1"/>
    <cellStyle name="Lien hypertexte visité" xfId="425" builtinId="9" hidden="1"/>
    <cellStyle name="Lien hypertexte visité" xfId="426" builtinId="9" hidden="1"/>
    <cellStyle name="Lien hypertexte visité" xfId="427" builtinId="9" hidden="1"/>
    <cellStyle name="Lien hypertexte visité" xfId="428" builtinId="9" hidden="1"/>
    <cellStyle name="Lien hypertexte visité" xfId="429" builtinId="9" hidden="1"/>
    <cellStyle name="Lien hypertexte visité" xfId="430" builtinId="9" hidden="1"/>
    <cellStyle name="Lien hypertexte visité" xfId="431" builtinId="9" hidden="1"/>
    <cellStyle name="Lien hypertexte visité" xfId="432" builtinId="9" hidden="1"/>
    <cellStyle name="Lien hypertexte visité" xfId="433" builtinId="9" hidden="1"/>
    <cellStyle name="Lien hypertexte visité" xfId="434" builtinId="9" hidden="1"/>
    <cellStyle name="Lien hypertexte visité" xfId="435" builtinId="9" hidden="1"/>
    <cellStyle name="Lien hypertexte visité" xfId="436" builtinId="9" hidden="1"/>
    <cellStyle name="Lien hypertexte visité" xfId="437" builtinId="9" hidden="1"/>
    <cellStyle name="Lien hypertexte visité" xfId="438" builtinId="9" hidden="1"/>
    <cellStyle name="Lien hypertexte visité" xfId="439" builtinId="9" hidden="1"/>
    <cellStyle name="Lien hypertexte visité" xfId="440" builtinId="9" hidden="1"/>
    <cellStyle name="Lien hypertexte visité" xfId="441" builtinId="9" hidden="1"/>
    <cellStyle name="Lien hypertexte visité" xfId="442" builtinId="9" hidden="1"/>
    <cellStyle name="Lien hypertexte visité" xfId="443" builtinId="9" hidden="1"/>
    <cellStyle name="Lien hypertexte visité" xfId="444" builtinId="9" hidden="1"/>
    <cellStyle name="Lien hypertexte visité" xfId="445" builtinId="9" hidden="1"/>
    <cellStyle name="Lien hypertexte visité" xfId="446" builtinId="9" hidden="1"/>
    <cellStyle name="Lien hypertexte visité" xfId="447" builtinId="9" hidden="1"/>
    <cellStyle name="Lien hypertexte visité" xfId="448" builtinId="9" hidden="1"/>
    <cellStyle name="Lien hypertexte visité" xfId="449" builtinId="9" hidden="1"/>
    <cellStyle name="Lien hypertexte visité" xfId="450" builtinId="9" hidden="1"/>
    <cellStyle name="Lien hypertexte visité" xfId="451" builtinId="9" hidden="1"/>
    <cellStyle name="Lien hypertexte visité" xfId="452" builtinId="9" hidden="1"/>
    <cellStyle name="Lien hypertexte visité" xfId="453" builtinId="9" hidden="1"/>
    <cellStyle name="Lien hypertexte visité" xfId="454" builtinId="9" hidden="1"/>
    <cellStyle name="Lien hypertexte visité" xfId="455" builtinId="9" hidden="1"/>
    <cellStyle name="Lien hypertexte visité" xfId="456" builtinId="9" hidden="1"/>
    <cellStyle name="Lien hypertexte visité" xfId="457" builtinId="9" hidden="1"/>
    <cellStyle name="Lien hypertexte visité" xfId="458" builtinId="9" hidden="1"/>
    <cellStyle name="Lien hypertexte visité" xfId="459" builtinId="9" hidden="1"/>
    <cellStyle name="Lien hypertexte visité" xfId="460" builtinId="9" hidden="1"/>
    <cellStyle name="Lien hypertexte visité" xfId="461" builtinId="9" hidden="1"/>
    <cellStyle name="Lien hypertexte visité" xfId="462" builtinId="9" hidden="1"/>
    <cellStyle name="Lien hypertexte visité" xfId="463" builtinId="9" hidden="1"/>
    <cellStyle name="Lien hypertexte visité" xfId="464" builtinId="9" hidden="1"/>
    <cellStyle name="Lien hypertexte visité" xfId="465" builtinId="9" hidden="1"/>
    <cellStyle name="Lien hypertexte visité" xfId="466" builtinId="9" hidden="1"/>
    <cellStyle name="Lien hypertexte visité" xfId="467" builtinId="9" hidden="1"/>
    <cellStyle name="Lien hypertexte visité" xfId="468" builtinId="9" hidden="1"/>
    <cellStyle name="Lien hypertexte visité" xfId="469" builtinId="9" hidden="1"/>
    <cellStyle name="Lien hypertexte visité" xfId="470" builtinId="9" hidden="1"/>
    <cellStyle name="Lien hypertexte visité" xfId="471" builtinId="9" hidden="1"/>
    <cellStyle name="Lien hypertexte visité" xfId="472" builtinId="9" hidden="1"/>
    <cellStyle name="Lien hypertexte visité" xfId="473" builtinId="9" hidden="1"/>
    <cellStyle name="Lien hypertexte visité" xfId="474" builtinId="9" hidden="1"/>
    <cellStyle name="Lien hypertexte visité" xfId="475" builtinId="9" hidden="1"/>
    <cellStyle name="Lien hypertexte visité" xfId="476" builtinId="9" hidden="1"/>
    <cellStyle name="Lien hypertexte visité" xfId="477" builtinId="9" hidden="1"/>
    <cellStyle name="Lien hypertexte visité" xfId="478" builtinId="9" hidden="1"/>
    <cellStyle name="Lien hypertexte visité" xfId="479" builtinId="9" hidden="1"/>
    <cellStyle name="Lien hypertexte visité" xfId="480" builtinId="9" hidden="1"/>
    <cellStyle name="Lien hypertexte visité" xfId="481" builtinId="9" hidden="1"/>
    <cellStyle name="Lien hypertexte visité" xfId="482" builtinId="9" hidden="1"/>
    <cellStyle name="Lien hypertexte visité" xfId="483" builtinId="9" hidden="1"/>
    <cellStyle name="Lien hypertexte visité" xfId="484" builtinId="9" hidden="1"/>
    <cellStyle name="Lien hypertexte visité" xfId="485" builtinId="9" hidden="1"/>
    <cellStyle name="Lien hypertexte visité" xfId="486" builtinId="9" hidden="1"/>
    <cellStyle name="Lien hypertexte visité" xfId="487" builtinId="9" hidden="1"/>
    <cellStyle name="Lien hypertexte visité" xfId="488" builtinId="9" hidden="1"/>
    <cellStyle name="Lien hypertexte visité" xfId="489" builtinId="9" hidden="1"/>
    <cellStyle name="Lien hypertexte visité" xfId="490" builtinId="9" hidden="1"/>
    <cellStyle name="Lien hypertexte visité" xfId="491" builtinId="9" hidden="1"/>
    <cellStyle name="Lien hypertexte visité" xfId="492" builtinId="9" hidden="1"/>
    <cellStyle name="Lien hypertexte visité" xfId="493" builtinId="9" hidden="1"/>
    <cellStyle name="Lien hypertexte visité" xfId="494" builtinId="9" hidden="1"/>
    <cellStyle name="Lien hypertexte visité" xfId="495" builtinId="9" hidden="1"/>
    <cellStyle name="Lien hypertexte visité" xfId="496" builtinId="9" hidden="1"/>
    <cellStyle name="Lien hypertexte visité" xfId="497" builtinId="9" hidden="1"/>
    <cellStyle name="Lien hypertexte visité" xfId="498" builtinId="9" hidden="1"/>
    <cellStyle name="Lien hypertexte visité" xfId="499" builtinId="9" hidden="1"/>
    <cellStyle name="Lien hypertexte visité" xfId="500" builtinId="9" hidden="1"/>
    <cellStyle name="Lien hypertexte visité" xfId="501" builtinId="9" hidden="1"/>
    <cellStyle name="Lien hypertexte visité" xfId="502" builtinId="9" hidden="1"/>
    <cellStyle name="Lien hypertexte visité" xfId="503" builtinId="9" hidden="1"/>
    <cellStyle name="Lien hypertexte visité" xfId="504" builtinId="9" hidden="1"/>
    <cellStyle name="Lien hypertexte visité" xfId="505" builtinId="9" hidden="1"/>
    <cellStyle name="Lien hypertexte visité" xfId="506" builtinId="9" hidden="1"/>
    <cellStyle name="Lien hypertexte visité" xfId="507" builtinId="9" hidden="1"/>
    <cellStyle name="Lien hypertexte visité" xfId="508" builtinId="9" hidden="1"/>
    <cellStyle name="Lien hypertexte visité" xfId="509" builtinId="9" hidden="1"/>
    <cellStyle name="Lien hypertexte visité" xfId="510" builtinId="9" hidden="1"/>
    <cellStyle name="Lien hypertexte visité" xfId="511" builtinId="9" hidden="1"/>
    <cellStyle name="Lien hypertexte visité" xfId="512" builtinId="9" hidden="1"/>
    <cellStyle name="Lien hypertexte visité" xfId="513" builtinId="9" hidden="1"/>
    <cellStyle name="Lien hypertexte visité" xfId="514" builtinId="9" hidden="1"/>
    <cellStyle name="Lien hypertexte visité" xfId="515" builtinId="9" hidden="1"/>
    <cellStyle name="Lien hypertexte visité" xfId="516" builtinId="9" hidden="1"/>
    <cellStyle name="Lien hypertexte visité" xfId="517" builtinId="9" hidden="1"/>
    <cellStyle name="Lien hypertexte visité" xfId="518" builtinId="9" hidden="1"/>
    <cellStyle name="Lien hypertexte visité" xfId="519" builtinId="9" hidden="1"/>
    <cellStyle name="Lien hypertexte visité" xfId="520" builtinId="9" hidden="1"/>
    <cellStyle name="Lien hypertexte visité" xfId="521" builtinId="9" hidden="1"/>
    <cellStyle name="Lien hypertexte visité" xfId="522" builtinId="9" hidden="1"/>
    <cellStyle name="Lien hypertexte visité" xfId="523" builtinId="9" hidden="1"/>
    <cellStyle name="Lien hypertexte visité" xfId="524" builtinId="9" hidden="1"/>
    <cellStyle name="Lien hypertexte visité" xfId="525" builtinId="9" hidden="1"/>
    <cellStyle name="Lien hypertexte visité" xfId="526" builtinId="9" hidden="1"/>
    <cellStyle name="Lien hypertexte visité" xfId="527" builtinId="9" hidden="1"/>
    <cellStyle name="Lien hypertexte visité" xfId="528" builtinId="9" hidden="1"/>
    <cellStyle name="Lien hypertexte visité" xfId="529" builtinId="9" hidden="1"/>
    <cellStyle name="Lien hypertexte visité" xfId="530" builtinId="9" hidden="1"/>
    <cellStyle name="Lien hypertexte visité" xfId="531" builtinId="9" hidden="1"/>
    <cellStyle name="Lien hypertexte visité" xfId="532" builtinId="9" hidden="1"/>
    <cellStyle name="Lien hypertexte visité" xfId="533" builtinId="9" hidden="1"/>
    <cellStyle name="Lien hypertexte visité" xfId="534" builtinId="9" hidden="1"/>
    <cellStyle name="Lien hypertexte visité" xfId="535" builtinId="9" hidden="1"/>
    <cellStyle name="Lien hypertexte visité" xfId="536" builtinId="9" hidden="1"/>
    <cellStyle name="Lien hypertexte visité" xfId="537" builtinId="9" hidden="1"/>
    <cellStyle name="Lien hypertexte visité" xfId="538" builtinId="9" hidden="1"/>
    <cellStyle name="Lien hypertexte visité" xfId="539" builtinId="9" hidden="1"/>
    <cellStyle name="Lien hypertexte visité" xfId="540" builtinId="9" hidden="1"/>
    <cellStyle name="Lien hypertexte visité" xfId="541" builtinId="9" hidden="1"/>
    <cellStyle name="Lien hypertexte visité" xfId="542" builtinId="9" hidden="1"/>
    <cellStyle name="Lien hypertexte visité" xfId="543" builtinId="9" hidden="1"/>
    <cellStyle name="Lien hypertexte visité" xfId="544" builtinId="9" hidden="1"/>
    <cellStyle name="Lien hypertexte visité" xfId="545" builtinId="9" hidden="1"/>
    <cellStyle name="Lien hypertexte visité" xfId="546" builtinId="9" hidden="1"/>
    <cellStyle name="Lien hypertexte visité" xfId="547" builtinId="9" hidden="1"/>
    <cellStyle name="Lien hypertexte visité" xfId="548" builtinId="9" hidden="1"/>
    <cellStyle name="Lien hypertexte visité" xfId="549" builtinId="9" hidden="1"/>
    <cellStyle name="Lien hypertexte visité" xfId="550" builtinId="9" hidden="1"/>
    <cellStyle name="Lien hypertexte visité" xfId="551" builtinId="9" hidden="1"/>
    <cellStyle name="Lien hypertexte visité" xfId="552" builtinId="9" hidden="1"/>
    <cellStyle name="Lien hypertexte visité" xfId="553" builtinId="9" hidden="1"/>
    <cellStyle name="Lien hypertexte visité" xfId="554" builtinId="9" hidden="1"/>
    <cellStyle name="Lien hypertexte visité" xfId="555" builtinId="9" hidden="1"/>
    <cellStyle name="Lien hypertexte visité" xfId="556" builtinId="9" hidden="1"/>
    <cellStyle name="Lien hypertexte visité" xfId="557" builtinId="9" hidden="1"/>
    <cellStyle name="Lien hypertexte visité" xfId="558" builtinId="9" hidden="1"/>
    <cellStyle name="Lien hypertexte visité" xfId="559" builtinId="9" hidden="1"/>
    <cellStyle name="Lien hypertexte visité" xfId="560" builtinId="9" hidden="1"/>
    <cellStyle name="Lien hypertexte visité" xfId="561" builtinId="9" hidden="1"/>
    <cellStyle name="Lien hypertexte visité" xfId="562" builtinId="9" hidden="1"/>
    <cellStyle name="Lien hypertexte visité" xfId="563" builtinId="9" hidden="1"/>
    <cellStyle name="Lien hypertexte visité" xfId="564" builtinId="9" hidden="1"/>
    <cellStyle name="Lien hypertexte visité" xfId="565" builtinId="9" hidden="1"/>
    <cellStyle name="Lien hypertexte visité" xfId="566" builtinId="9" hidden="1"/>
    <cellStyle name="Lien hypertexte visité" xfId="567" builtinId="9" hidden="1"/>
    <cellStyle name="Lien hypertexte visité" xfId="568" builtinId="9" hidden="1"/>
    <cellStyle name="Lien hypertexte visité" xfId="569" builtinId="9" hidden="1"/>
    <cellStyle name="Lien hypertexte visité" xfId="570" builtinId="9" hidden="1"/>
    <cellStyle name="Lien hypertexte visité" xfId="571" builtinId="9" hidden="1"/>
    <cellStyle name="Lien hypertexte visité" xfId="572" builtinId="9" hidden="1"/>
    <cellStyle name="Lien hypertexte visité" xfId="573" builtinId="9" hidden="1"/>
    <cellStyle name="Lien hypertexte visité" xfId="574" builtinId="9" hidden="1"/>
    <cellStyle name="Lien hypertexte visité" xfId="575" builtinId="9" hidden="1"/>
    <cellStyle name="Lien hypertexte visité" xfId="576" builtinId="9" hidden="1"/>
    <cellStyle name="Lien hypertexte visité" xfId="577" builtinId="9" hidden="1"/>
    <cellStyle name="Lien hypertexte visité" xfId="578" builtinId="9" hidden="1"/>
    <cellStyle name="Lien hypertexte visité" xfId="579" builtinId="9" hidden="1"/>
    <cellStyle name="Lien hypertexte visité" xfId="580" builtinId="9" hidden="1"/>
    <cellStyle name="Lien hypertexte visité" xfId="581" builtinId="9" hidden="1"/>
    <cellStyle name="Lien hypertexte visité" xfId="582" builtinId="9" hidden="1"/>
    <cellStyle name="Lien hypertexte visité" xfId="583" builtinId="9" hidden="1"/>
    <cellStyle name="Lien hypertexte visité" xfId="584" builtinId="9" hidden="1"/>
    <cellStyle name="Lien hypertexte visité" xfId="585" builtinId="9" hidden="1"/>
    <cellStyle name="Lien hypertexte visité" xfId="586" builtinId="9" hidden="1"/>
    <cellStyle name="Lien hypertexte visité" xfId="587" builtinId="9" hidden="1"/>
    <cellStyle name="Lien hypertexte visité" xfId="588" builtinId="9" hidden="1"/>
    <cellStyle name="Lien hypertexte visité" xfId="589" builtinId="9" hidden="1"/>
    <cellStyle name="Lien hypertexte visité" xfId="590" builtinId="9" hidden="1"/>
    <cellStyle name="Lien hypertexte visité" xfId="591" builtinId="9" hidden="1"/>
    <cellStyle name="Lien hypertexte visité" xfId="592" builtinId="9" hidden="1"/>
    <cellStyle name="Lien hypertexte visité" xfId="593" builtinId="9" hidden="1"/>
    <cellStyle name="Lien hypertexte visité" xfId="594" builtinId="9" hidden="1"/>
    <cellStyle name="Lien hypertexte visité" xfId="595" builtinId="9" hidden="1"/>
    <cellStyle name="Lien hypertexte visité" xfId="596" builtinId="9" hidden="1"/>
    <cellStyle name="Lien hypertexte visité" xfId="597" builtinId="9" hidden="1"/>
    <cellStyle name="Lien hypertexte visité" xfId="598" builtinId="9" hidden="1"/>
    <cellStyle name="Lien hypertexte visité" xfId="599" builtinId="9" hidden="1"/>
    <cellStyle name="Lien hypertexte visité" xfId="600" builtinId="9" hidden="1"/>
    <cellStyle name="Lien hypertexte visité" xfId="601" builtinId="9" hidden="1"/>
    <cellStyle name="Lien hypertexte visité" xfId="602" builtinId="9" hidden="1"/>
    <cellStyle name="Lien hypertexte visité" xfId="603" builtinId="9" hidden="1"/>
    <cellStyle name="Lien hypertexte visité" xfId="604" builtinId="9" hidden="1"/>
    <cellStyle name="Lien hypertexte visité" xfId="605" builtinId="9" hidden="1"/>
    <cellStyle name="Lien hypertexte visité" xfId="606" builtinId="9" hidden="1"/>
    <cellStyle name="Lien hypertexte visité" xfId="607" builtinId="9" hidden="1"/>
    <cellStyle name="Lien hypertexte visité" xfId="608" builtinId="9" hidden="1"/>
    <cellStyle name="Lien hypertexte visité" xfId="609" builtinId="9" hidden="1"/>
    <cellStyle name="Lien hypertexte visité" xfId="610" builtinId="9" hidden="1"/>
    <cellStyle name="Lien hypertexte visité" xfId="611" builtinId="9" hidden="1"/>
    <cellStyle name="Lien hypertexte visité" xfId="612" builtinId="9" hidden="1"/>
    <cellStyle name="Lien hypertexte visité" xfId="613" builtinId="9" hidden="1"/>
    <cellStyle name="Lien hypertexte visité" xfId="614" builtinId="9" hidden="1"/>
    <cellStyle name="Lien hypertexte visité" xfId="615" builtinId="9" hidden="1"/>
    <cellStyle name="Lien hypertexte visité" xfId="616" builtinId="9" hidden="1"/>
    <cellStyle name="Lien hypertexte visité" xfId="617" builtinId="9" hidden="1"/>
    <cellStyle name="Lien hypertexte visité" xfId="618" builtinId="9" hidden="1"/>
    <cellStyle name="Lien hypertexte visité" xfId="619" builtinId="9" hidden="1"/>
    <cellStyle name="Lien hypertexte visité" xfId="620" builtinId="9" hidden="1"/>
    <cellStyle name="Lien hypertexte visité" xfId="621" builtinId="9" hidden="1"/>
    <cellStyle name="Lien hypertexte visité" xfId="622" builtinId="9" hidden="1"/>
    <cellStyle name="Lien hypertexte visité" xfId="623" builtinId="9" hidden="1"/>
    <cellStyle name="Lien hypertexte visité" xfId="624" builtinId="9" hidden="1"/>
    <cellStyle name="Lien hypertexte visité" xfId="625" builtinId="9" hidden="1"/>
    <cellStyle name="Lien hypertexte visité" xfId="626" builtinId="9" hidden="1"/>
    <cellStyle name="Lien hypertexte visité" xfId="627" builtinId="9" hidden="1"/>
    <cellStyle name="Lien hypertexte visité" xfId="628" builtinId="9" hidden="1"/>
    <cellStyle name="Lien hypertexte visité" xfId="629" builtinId="9" hidden="1"/>
    <cellStyle name="Lien hypertexte visité" xfId="630" builtinId="9" hidden="1"/>
    <cellStyle name="Lien hypertexte visité" xfId="631" builtinId="9" hidden="1"/>
    <cellStyle name="Lien hypertexte visité" xfId="632" builtinId="9" hidden="1"/>
    <cellStyle name="Lien hypertexte visité" xfId="633" builtinId="9" hidden="1"/>
    <cellStyle name="Lien hypertexte visité" xfId="634" builtinId="9" hidden="1"/>
    <cellStyle name="Lien hypertexte visité" xfId="635" builtinId="9" hidden="1"/>
    <cellStyle name="Lien hypertexte visité" xfId="636" builtinId="9" hidden="1"/>
    <cellStyle name="Lien hypertexte visité" xfId="637" builtinId="9" hidden="1"/>
    <cellStyle name="Lien hypertexte visité" xfId="638" builtinId="9" hidden="1"/>
    <cellStyle name="Lien hypertexte visité" xfId="639" builtinId="9" hidden="1"/>
    <cellStyle name="Lien hypertexte visité" xfId="640" builtinId="9" hidden="1"/>
    <cellStyle name="Lien hypertexte visité" xfId="641" builtinId="9" hidden="1"/>
    <cellStyle name="Lien hypertexte visité" xfId="642" builtinId="9" hidden="1"/>
    <cellStyle name="Lien hypertexte visité" xfId="643" builtinId="9" hidden="1"/>
    <cellStyle name="Lien hypertexte visité" xfId="644" builtinId="9" hidden="1"/>
    <cellStyle name="Lien hypertexte visité" xfId="645" builtinId="9" hidden="1"/>
    <cellStyle name="Lien hypertexte visité" xfId="646" builtinId="9" hidden="1"/>
    <cellStyle name="Lien hypertexte visité" xfId="647" builtinId="9" hidden="1"/>
    <cellStyle name="Lien hypertexte visité" xfId="648" builtinId="9" hidden="1"/>
    <cellStyle name="Lien hypertexte visité" xfId="649" builtinId="9" hidden="1"/>
    <cellStyle name="Lien hypertexte visité" xfId="650" builtinId="9" hidden="1"/>
    <cellStyle name="Lien hypertexte visité" xfId="651" builtinId="9" hidden="1"/>
    <cellStyle name="Lien hypertexte visité" xfId="652" builtinId="9" hidden="1"/>
    <cellStyle name="Lien hypertexte visité" xfId="653" builtinId="9" hidden="1"/>
    <cellStyle name="Lien hypertexte visité" xfId="654" builtinId="9" hidden="1"/>
    <cellStyle name="Lien hypertexte visité" xfId="655" builtinId="9" hidden="1"/>
    <cellStyle name="Lien hypertexte visité" xfId="656" builtinId="9" hidden="1"/>
    <cellStyle name="Lien hypertexte visité" xfId="657" builtinId="9" hidden="1"/>
    <cellStyle name="Lien hypertexte visité" xfId="658" builtinId="9" hidden="1"/>
    <cellStyle name="Lien hypertexte visité" xfId="659" builtinId="9" hidden="1"/>
    <cellStyle name="Lien hypertexte visité" xfId="660" builtinId="9" hidden="1"/>
    <cellStyle name="Lien hypertexte visité" xfId="661" builtinId="9" hidden="1"/>
    <cellStyle name="Lien hypertexte visité" xfId="662" builtinId="9" hidden="1"/>
    <cellStyle name="Lien hypertexte visité" xfId="663" builtinId="9" hidden="1"/>
    <cellStyle name="Lien hypertexte visité" xfId="664" builtinId="9" hidden="1"/>
    <cellStyle name="Lien hypertexte visité" xfId="665" builtinId="9" hidden="1"/>
    <cellStyle name="Lien hypertexte visité" xfId="666" builtinId="9" hidden="1"/>
    <cellStyle name="Lien hypertexte visité" xfId="667" builtinId="9" hidden="1"/>
    <cellStyle name="Lien hypertexte visité" xfId="668" builtinId="9" hidden="1"/>
    <cellStyle name="Lien hypertexte visité" xfId="669" builtinId="9" hidden="1"/>
    <cellStyle name="Lien hypertexte visité" xfId="670" builtinId="9" hidden="1"/>
    <cellStyle name="Lien hypertexte visité" xfId="671" builtinId="9" hidden="1"/>
    <cellStyle name="Lien hypertexte visité" xfId="672" builtinId="9" hidden="1"/>
    <cellStyle name="Lien hypertexte visité" xfId="673" builtinId="9" hidden="1"/>
    <cellStyle name="Lien hypertexte visité" xfId="674" builtinId="9" hidden="1"/>
    <cellStyle name="Lien hypertexte visité" xfId="675" builtinId="9" hidden="1"/>
    <cellStyle name="Lien hypertexte visité" xfId="676" builtinId="9" hidden="1"/>
    <cellStyle name="Lien hypertexte visité" xfId="677" builtinId="9" hidden="1"/>
    <cellStyle name="Lien hypertexte visité" xfId="678" builtinId="9" hidden="1"/>
    <cellStyle name="Lien hypertexte visité" xfId="679" builtinId="9" hidden="1"/>
    <cellStyle name="Lien hypertexte visité" xfId="680" builtinId="9" hidden="1"/>
    <cellStyle name="Lien hypertexte visité" xfId="681" builtinId="9" hidden="1"/>
    <cellStyle name="Lien hypertexte visité" xfId="682" builtinId="9" hidden="1"/>
    <cellStyle name="Lien hypertexte visité" xfId="683" builtinId="9" hidden="1"/>
    <cellStyle name="Lien hypertexte visité" xfId="684" builtinId="9" hidden="1"/>
    <cellStyle name="Lien hypertexte visité" xfId="685" builtinId="9" hidden="1"/>
    <cellStyle name="Lien hypertexte visité" xfId="686" builtinId="9" hidden="1"/>
    <cellStyle name="Lien hypertexte visité" xfId="687" builtinId="9" hidden="1"/>
    <cellStyle name="Lien hypertexte visité" xfId="688" builtinId="9" hidden="1"/>
    <cellStyle name="Lien hypertexte visité" xfId="689" builtinId="9" hidden="1"/>
    <cellStyle name="Lien hypertexte visité" xfId="690" builtinId="9" hidden="1"/>
    <cellStyle name="Lien hypertexte visité" xfId="691" builtinId="9" hidden="1"/>
    <cellStyle name="Lien hypertexte visité" xfId="692" builtinId="9" hidden="1"/>
    <cellStyle name="Lien hypertexte visité" xfId="693" builtinId="9" hidden="1"/>
    <cellStyle name="Lien hypertexte visité" xfId="694" builtinId="9" hidden="1"/>
    <cellStyle name="Lien hypertexte visité" xfId="695" builtinId="9" hidden="1"/>
    <cellStyle name="Lien hypertexte visité" xfId="696" builtinId="9" hidden="1"/>
    <cellStyle name="Lien hypertexte visité" xfId="697" builtinId="9" hidden="1"/>
    <cellStyle name="Lien hypertexte visité" xfId="698" builtinId="9" hidden="1"/>
    <cellStyle name="Lien hypertexte visité" xfId="699" builtinId="9" hidden="1"/>
    <cellStyle name="Lien hypertexte visité" xfId="700" builtinId="9" hidden="1"/>
    <cellStyle name="Lien hypertexte visité" xfId="701" builtinId="9" hidden="1"/>
    <cellStyle name="Lien hypertexte visité" xfId="702" builtinId="9" hidden="1"/>
    <cellStyle name="Lien hypertexte visité" xfId="703" builtinId="9" hidden="1"/>
    <cellStyle name="Lien hypertexte visité" xfId="704" builtinId="9" hidden="1"/>
    <cellStyle name="Lien hypertexte visité" xfId="705" builtinId="9" hidden="1"/>
    <cellStyle name="Lien hypertexte visité" xfId="706" builtinId="9" hidden="1"/>
    <cellStyle name="Lien hypertexte visité" xfId="707" builtinId="9" hidden="1"/>
    <cellStyle name="Lien hypertexte visité" xfId="708" builtinId="9" hidden="1"/>
    <cellStyle name="Lien hypertexte visité" xfId="709" builtinId="9" hidden="1"/>
    <cellStyle name="Lien hypertexte visité" xfId="710" builtinId="9" hidden="1"/>
    <cellStyle name="Lien hypertexte visité" xfId="711" builtinId="9" hidden="1"/>
    <cellStyle name="Lien hypertexte visité" xfId="712" builtinId="9" hidden="1"/>
    <cellStyle name="Lien hypertexte visité" xfId="713" builtinId="9" hidden="1"/>
    <cellStyle name="Lien hypertexte visité" xfId="714" builtinId="9" hidden="1"/>
    <cellStyle name="Lien hypertexte visité" xfId="715" builtinId="9" hidden="1"/>
    <cellStyle name="Lien hypertexte visité" xfId="716" builtinId="9" hidden="1"/>
    <cellStyle name="Lien hypertexte visité" xfId="717" builtinId="9" hidden="1"/>
    <cellStyle name="Lien hypertexte visité" xfId="718" builtinId="9" hidden="1"/>
    <cellStyle name="Lien hypertexte visité" xfId="719" builtinId="9" hidden="1"/>
    <cellStyle name="Lien hypertexte visité" xfId="720" builtinId="9" hidden="1"/>
    <cellStyle name="Lien hypertexte visité" xfId="721" builtinId="9" hidden="1"/>
    <cellStyle name="Lien hypertexte visité" xfId="722" builtinId="9" hidden="1"/>
    <cellStyle name="Lien hypertexte visité" xfId="723" builtinId="9" hidden="1"/>
    <cellStyle name="Lien hypertexte visité" xfId="724" builtinId="9" hidden="1"/>
    <cellStyle name="Lien hypertexte visité" xfId="725" builtinId="9" hidden="1"/>
    <cellStyle name="Lien hypertexte visité" xfId="726" builtinId="9" hidden="1"/>
    <cellStyle name="Lien hypertexte visité" xfId="727" builtinId="9" hidden="1"/>
    <cellStyle name="Lien hypertexte visité" xfId="728" builtinId="9" hidden="1"/>
    <cellStyle name="Lien hypertexte visité" xfId="729" builtinId="9" hidden="1"/>
    <cellStyle name="Lien hypertexte visité" xfId="730" builtinId="9" hidden="1"/>
    <cellStyle name="Lien hypertexte visité" xfId="731" builtinId="9" hidden="1"/>
    <cellStyle name="Lien hypertexte visité" xfId="732" builtinId="9" hidden="1"/>
    <cellStyle name="Lien hypertexte visité" xfId="733" builtinId="9" hidden="1"/>
    <cellStyle name="Lien hypertexte visité" xfId="734" builtinId="9" hidden="1"/>
    <cellStyle name="Lien hypertexte visité" xfId="735" builtinId="9" hidden="1"/>
    <cellStyle name="Lien hypertexte visité" xfId="736" builtinId="9" hidden="1"/>
    <cellStyle name="Lien hypertexte visité" xfId="737" builtinId="9" hidden="1"/>
    <cellStyle name="Lien hypertexte visité" xfId="738" builtinId="9" hidden="1"/>
    <cellStyle name="Lien hypertexte visité" xfId="739" builtinId="9" hidden="1"/>
    <cellStyle name="Lien hypertexte visité" xfId="740" builtinId="9" hidden="1"/>
    <cellStyle name="Lien hypertexte visité" xfId="741" builtinId="9" hidden="1"/>
    <cellStyle name="Lien hypertexte visité" xfId="742" builtinId="9" hidden="1"/>
    <cellStyle name="Lien hypertexte visité" xfId="743" builtinId="9" hidden="1"/>
    <cellStyle name="Lien hypertexte visité" xfId="744" builtinId="9" hidden="1"/>
    <cellStyle name="Lien hypertexte visité" xfId="745" builtinId="9" hidden="1"/>
    <cellStyle name="Lien hypertexte visité" xfId="746" builtinId="9" hidden="1"/>
    <cellStyle name="Lien hypertexte visité" xfId="747" builtinId="9" hidden="1"/>
    <cellStyle name="Lien hypertexte visité" xfId="748" builtinId="9" hidden="1"/>
    <cellStyle name="Lien hypertexte visité" xfId="749" builtinId="9" hidden="1"/>
    <cellStyle name="Lien hypertexte visité" xfId="750" builtinId="9" hidden="1"/>
    <cellStyle name="Lien hypertexte visité" xfId="751" builtinId="9" hidden="1"/>
    <cellStyle name="Lien hypertexte visité" xfId="752" builtinId="9" hidden="1"/>
    <cellStyle name="Lien hypertexte visité" xfId="753" builtinId="9" hidden="1"/>
    <cellStyle name="Lien hypertexte visité" xfId="754" builtinId="9" hidden="1"/>
    <cellStyle name="Lien hypertexte visité" xfId="755" builtinId="9" hidden="1"/>
    <cellStyle name="Lien hypertexte visité" xfId="756" builtinId="9" hidden="1"/>
    <cellStyle name="Lien hypertexte visité" xfId="757" builtinId="9" hidden="1"/>
    <cellStyle name="Lien hypertexte visité" xfId="758" builtinId="9" hidden="1"/>
    <cellStyle name="Lien hypertexte visité" xfId="759" builtinId="9" hidden="1"/>
    <cellStyle name="Lien hypertexte visité" xfId="760" builtinId="9" hidden="1"/>
    <cellStyle name="Lien hypertexte visité" xfId="761" builtinId="9" hidden="1"/>
    <cellStyle name="Lien hypertexte visité" xfId="762" builtinId="9" hidden="1"/>
    <cellStyle name="Lien hypertexte visité" xfId="763" builtinId="9" hidden="1"/>
    <cellStyle name="Lien hypertexte visité" xfId="764" builtinId="9" hidden="1"/>
    <cellStyle name="Lien hypertexte visité" xfId="765" builtinId="9" hidden="1"/>
    <cellStyle name="Lien hypertexte visité" xfId="766" builtinId="9" hidden="1"/>
    <cellStyle name="Lien hypertexte visité" xfId="767" builtinId="9" hidden="1"/>
    <cellStyle name="Lien hypertexte visité" xfId="768" builtinId="9" hidden="1"/>
    <cellStyle name="Lien hypertexte visité" xfId="769" builtinId="9" hidden="1"/>
    <cellStyle name="Lien hypertexte visité" xfId="770" builtinId="9" hidden="1"/>
    <cellStyle name="Lien hypertexte visité" xfId="771" builtinId="9" hidden="1"/>
    <cellStyle name="Lien hypertexte visité" xfId="772" builtinId="9" hidden="1"/>
    <cellStyle name="Lien hypertexte visité" xfId="773" builtinId="9" hidden="1"/>
    <cellStyle name="Lien hypertexte visité" xfId="774" builtinId="9" hidden="1"/>
    <cellStyle name="Lien hypertexte visité" xfId="775" builtinId="9" hidden="1"/>
    <cellStyle name="Lien hypertexte visité" xfId="776" builtinId="9" hidden="1"/>
    <cellStyle name="Lien hypertexte visité" xfId="777" builtinId="9" hidden="1"/>
    <cellStyle name="Lien hypertexte visité" xfId="778" builtinId="9" hidden="1"/>
    <cellStyle name="Lien hypertexte visité" xfId="779" builtinId="9" hidden="1"/>
    <cellStyle name="Lien hypertexte visité" xfId="780" builtinId="9" hidden="1"/>
    <cellStyle name="Lien hypertexte visité" xfId="781" builtinId="9" hidden="1"/>
    <cellStyle name="Lien hypertexte visité" xfId="782" builtinId="9" hidden="1"/>
    <cellStyle name="Lien hypertexte visité" xfId="783" builtinId="9" hidden="1"/>
    <cellStyle name="Lien hypertexte visité" xfId="784" builtinId="9" hidden="1"/>
    <cellStyle name="Lien hypertexte visité" xfId="785" builtinId="9" hidden="1"/>
    <cellStyle name="Lien hypertexte visité" xfId="786" builtinId="9" hidden="1"/>
    <cellStyle name="Lien hypertexte visité" xfId="787" builtinId="9" hidden="1"/>
    <cellStyle name="Lien hypertexte visité" xfId="788" builtinId="9" hidden="1"/>
    <cellStyle name="Lien hypertexte visité" xfId="789" builtinId="9" hidden="1"/>
    <cellStyle name="Lien hypertexte visité" xfId="790" builtinId="9" hidden="1"/>
    <cellStyle name="Lien hypertexte visité" xfId="791" builtinId="9" hidden="1"/>
    <cellStyle name="Lien hypertexte visité" xfId="792" builtinId="9" hidden="1"/>
    <cellStyle name="Lien hypertexte visité" xfId="793" builtinId="9" hidden="1"/>
    <cellStyle name="Lien hypertexte visité" xfId="794" builtinId="9" hidden="1"/>
    <cellStyle name="Lien hypertexte visité" xfId="795" builtinId="9" hidden="1"/>
    <cellStyle name="Lien hypertexte visité" xfId="796" builtinId="9" hidden="1"/>
    <cellStyle name="Lien hypertexte visité" xfId="797" builtinId="9" hidden="1"/>
    <cellStyle name="Lien hypertexte visité" xfId="798" builtinId="9" hidden="1"/>
    <cellStyle name="Lien hypertexte visité" xfId="799" builtinId="9" hidden="1"/>
    <cellStyle name="Lien hypertexte visité" xfId="800" builtinId="9" hidden="1"/>
    <cellStyle name="Lien hypertexte visité" xfId="801" builtinId="9" hidden="1"/>
    <cellStyle name="Lien hypertexte visité" xfId="802" builtinId="9" hidden="1"/>
    <cellStyle name="Lien hypertexte visité" xfId="803" builtinId="9" hidden="1"/>
    <cellStyle name="Lien hypertexte visité" xfId="804" builtinId="9" hidden="1"/>
    <cellStyle name="Lien hypertexte visité" xfId="805" builtinId="9" hidden="1"/>
    <cellStyle name="Lien hypertexte visité" xfId="806" builtinId="9" hidden="1"/>
    <cellStyle name="Lien hypertexte visité" xfId="807" builtinId="9" hidden="1"/>
    <cellStyle name="Lien hypertexte visité" xfId="808" builtinId="9" hidden="1"/>
    <cellStyle name="Lien hypertexte visité" xfId="809" builtinId="9" hidden="1"/>
    <cellStyle name="Lien hypertexte visité" xfId="810" builtinId="9" hidden="1"/>
    <cellStyle name="Lien hypertexte visité" xfId="811" builtinId="9" hidden="1"/>
    <cellStyle name="Lien hypertexte visité" xfId="812" builtinId="9" hidden="1"/>
    <cellStyle name="Lien hypertexte visité" xfId="813" builtinId="9" hidden="1"/>
    <cellStyle name="Lien hypertexte visité" xfId="814" builtinId="9" hidden="1"/>
    <cellStyle name="Lien hypertexte visité" xfId="815" builtinId="9" hidden="1"/>
    <cellStyle name="Lien hypertexte visité" xfId="816" builtinId="9" hidden="1"/>
    <cellStyle name="Lien hypertexte visité" xfId="817" builtinId="9" hidden="1"/>
    <cellStyle name="Lien hypertexte visité" xfId="818" builtinId="9" hidden="1"/>
    <cellStyle name="Lien hypertexte visité" xfId="819" builtinId="9" hidden="1"/>
    <cellStyle name="Lien hypertexte visité" xfId="820" builtinId="9" hidden="1"/>
    <cellStyle name="Lien hypertexte visité" xfId="821" builtinId="9" hidden="1"/>
    <cellStyle name="Lien hypertexte visité" xfId="822" builtinId="9" hidden="1"/>
    <cellStyle name="Lien hypertexte visité" xfId="823" builtinId="9" hidden="1"/>
    <cellStyle name="Lien hypertexte visité" xfId="824" builtinId="9" hidden="1"/>
    <cellStyle name="Lien hypertexte visité" xfId="825" builtinId="9" hidden="1"/>
    <cellStyle name="Lien hypertexte visité" xfId="826" builtinId="9" hidden="1"/>
    <cellStyle name="Lien hypertexte visité" xfId="827" builtinId="9" hidden="1"/>
    <cellStyle name="Lien hypertexte visité" xfId="828" builtinId="9" hidden="1"/>
    <cellStyle name="Lien hypertexte visité" xfId="829" builtinId="9" hidden="1"/>
    <cellStyle name="Lien hypertexte visité" xfId="830" builtinId="9" hidden="1"/>
    <cellStyle name="Lien hypertexte visité" xfId="831" builtinId="9" hidden="1"/>
    <cellStyle name="Lien hypertexte visité" xfId="832" builtinId="9" hidden="1"/>
    <cellStyle name="Lien hypertexte visité" xfId="833" builtinId="9" hidden="1"/>
    <cellStyle name="Lien hypertexte visité" xfId="834" builtinId="9" hidden="1"/>
    <cellStyle name="Lien hypertexte visité" xfId="835" builtinId="9" hidden="1"/>
    <cellStyle name="Lien hypertexte visité" xfId="836" builtinId="9" hidden="1"/>
    <cellStyle name="Lien hypertexte visité" xfId="837" builtinId="9" hidden="1"/>
    <cellStyle name="Lien hypertexte visité" xfId="838" builtinId="9" hidden="1"/>
    <cellStyle name="Lien hypertexte visité" xfId="839" builtinId="9" hidden="1"/>
    <cellStyle name="Lien hypertexte visité" xfId="840" builtinId="9" hidden="1"/>
    <cellStyle name="Lien hypertexte visité" xfId="841" builtinId="9" hidden="1"/>
    <cellStyle name="Lien hypertexte visité" xfId="842" builtinId="9" hidden="1"/>
    <cellStyle name="Lien hypertexte visité" xfId="843" builtinId="9" hidden="1"/>
    <cellStyle name="Lien hypertexte visité" xfId="844" builtinId="9" hidden="1"/>
    <cellStyle name="Lien hypertexte visité" xfId="845" builtinId="9" hidden="1"/>
    <cellStyle name="Lien hypertexte visité" xfId="846" builtinId="9" hidden="1"/>
    <cellStyle name="Lien hypertexte visité" xfId="847" builtinId="9" hidden="1"/>
    <cellStyle name="Lien hypertexte visité" xfId="848" builtinId="9" hidden="1"/>
    <cellStyle name="Lien hypertexte visité" xfId="849" builtinId="9" hidden="1"/>
    <cellStyle name="Lien hypertexte visité" xfId="850" builtinId="9" hidden="1"/>
    <cellStyle name="Lien hypertexte visité" xfId="851" builtinId="9" hidden="1"/>
    <cellStyle name="Lien hypertexte visité" xfId="852" builtinId="9" hidden="1"/>
    <cellStyle name="Lien hypertexte visité" xfId="853" builtinId="9" hidden="1"/>
    <cellStyle name="Lien hypertexte visité" xfId="854" builtinId="9" hidden="1"/>
    <cellStyle name="Lien hypertexte visité" xfId="855" builtinId="9" hidden="1"/>
    <cellStyle name="Lien hypertexte visité" xfId="856" builtinId="9" hidden="1"/>
    <cellStyle name="Lien hypertexte visité" xfId="857" builtinId="9" hidden="1"/>
    <cellStyle name="Lien hypertexte visité" xfId="858" builtinId="9" hidden="1"/>
    <cellStyle name="Lien hypertexte visité" xfId="859" builtinId="9" hidden="1"/>
    <cellStyle name="Lien hypertexte visité" xfId="860" builtinId="9" hidden="1"/>
    <cellStyle name="Lien hypertexte visité" xfId="861" builtinId="9" hidden="1"/>
    <cellStyle name="Lien hypertexte visité" xfId="862" builtinId="9" hidden="1"/>
    <cellStyle name="Lien hypertexte visité" xfId="863" builtinId="9" hidden="1"/>
    <cellStyle name="Lien hypertexte visité" xfId="864" builtinId="9" hidden="1"/>
    <cellStyle name="Lien hypertexte visité" xfId="865" builtinId="9" hidden="1"/>
    <cellStyle name="Lien hypertexte visité" xfId="866" builtinId="9" hidden="1"/>
    <cellStyle name="Lien hypertexte visité" xfId="867" builtinId="9" hidden="1"/>
    <cellStyle name="Lien hypertexte visité" xfId="868" builtinId="9" hidden="1"/>
    <cellStyle name="Lien hypertexte visité" xfId="869" builtinId="9" hidden="1"/>
    <cellStyle name="Lien hypertexte visité" xfId="870" builtinId="9" hidden="1"/>
    <cellStyle name="Lien hypertexte visité" xfId="871" builtinId="9" hidden="1"/>
    <cellStyle name="Lien hypertexte visité" xfId="872" builtinId="9" hidden="1"/>
    <cellStyle name="Lien hypertexte visité" xfId="873" builtinId="9" hidden="1"/>
    <cellStyle name="Lien hypertexte visité" xfId="874" builtinId="9" hidden="1"/>
    <cellStyle name="Lien hypertexte visité" xfId="875" builtinId="9" hidden="1"/>
    <cellStyle name="Lien hypertexte visité" xfId="876" builtinId="9" hidden="1"/>
    <cellStyle name="Lien hypertexte visité" xfId="877" builtinId="9" hidden="1"/>
    <cellStyle name="Lien hypertexte visité" xfId="878" builtinId="9" hidden="1"/>
    <cellStyle name="Lien hypertexte visité" xfId="879" builtinId="9" hidden="1"/>
    <cellStyle name="Lien hypertexte visité" xfId="880" builtinId="9" hidden="1"/>
    <cellStyle name="Lien hypertexte visité" xfId="881" builtinId="9" hidden="1"/>
    <cellStyle name="Lien hypertexte visité" xfId="882" builtinId="9" hidden="1"/>
    <cellStyle name="Lien hypertexte visité" xfId="883" builtinId="9" hidden="1"/>
    <cellStyle name="Lien hypertexte visité" xfId="884" builtinId="9" hidden="1"/>
    <cellStyle name="Lien hypertexte visité" xfId="885" builtinId="9" hidden="1"/>
    <cellStyle name="Lien hypertexte visité" xfId="886" builtinId="9" hidden="1"/>
    <cellStyle name="Lien hypertexte visité" xfId="887" builtinId="9" hidden="1"/>
    <cellStyle name="Lien hypertexte visité" xfId="888" builtinId="9" hidden="1"/>
    <cellStyle name="Lien hypertexte visité" xfId="889" builtinId="9"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worksheet" Target="worksheets/sheet30.xml"/><Relationship Id="rId31" Type="http://schemas.openxmlformats.org/officeDocument/2006/relationships/worksheet" Target="worksheets/sheet31.xml"/><Relationship Id="rId32" Type="http://schemas.openxmlformats.org/officeDocument/2006/relationships/theme" Target="theme/theme1.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styles" Target="styles.xml"/><Relationship Id="rId34" Type="http://schemas.openxmlformats.org/officeDocument/2006/relationships/sharedStrings" Target="sharedStrings.xml"/><Relationship Id="rId35" Type="http://schemas.openxmlformats.org/officeDocument/2006/relationships/calcChain" Target="calcChain.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4"/>
  <sheetViews>
    <sheetView tabSelected="1" workbookViewId="0">
      <selection activeCell="B14" sqref="B14"/>
    </sheetView>
  </sheetViews>
  <sheetFormatPr baseColWidth="10" defaultRowHeight="15" x14ac:dyDescent="0"/>
  <cols>
    <col min="1" max="1" width="4.6640625" customWidth="1"/>
    <col min="2" max="2" width="13.1640625" customWidth="1"/>
    <col min="3" max="3" width="10" customWidth="1"/>
    <col min="4" max="4" width="10.6640625" customWidth="1"/>
    <col min="5" max="5" width="51" customWidth="1"/>
    <col min="6" max="6" width="28.83203125" customWidth="1"/>
    <col min="7" max="7" width="58.1640625" bestFit="1" customWidth="1"/>
    <col min="8" max="8" width="39.33203125" bestFit="1" customWidth="1"/>
    <col min="9" max="9" width="93.6640625" style="17" customWidth="1"/>
  </cols>
  <sheetData>
    <row r="1" spans="1:9" ht="23">
      <c r="A1" s="375" t="s">
        <v>95</v>
      </c>
      <c r="B1" s="113"/>
      <c r="C1" s="113"/>
      <c r="D1" s="113"/>
      <c r="E1" s="113"/>
      <c r="F1" s="113"/>
      <c r="G1" s="113"/>
      <c r="H1" s="114"/>
    </row>
    <row r="2" spans="1:9" ht="23">
      <c r="A2" s="376" t="s">
        <v>96</v>
      </c>
      <c r="B2" s="115"/>
      <c r="C2" s="115"/>
      <c r="D2" s="115"/>
      <c r="E2" s="115"/>
      <c r="F2" s="115"/>
      <c r="G2" s="115"/>
      <c r="H2" s="116"/>
    </row>
    <row r="3" spans="1:9" s="17" customFormat="1"/>
    <row r="4" spans="1:9" ht="18">
      <c r="A4" s="393" t="s">
        <v>131</v>
      </c>
      <c r="B4" s="17"/>
      <c r="C4" s="17"/>
      <c r="D4" s="17"/>
      <c r="E4" s="17"/>
      <c r="F4" s="466">
        <v>43586</v>
      </c>
      <c r="G4" s="300" t="s">
        <v>91</v>
      </c>
      <c r="H4" s="17"/>
    </row>
    <row r="5" spans="1:9">
      <c r="A5" s="17"/>
      <c r="B5" s="17"/>
      <c r="C5" s="17"/>
      <c r="D5" s="17"/>
      <c r="E5" s="17"/>
      <c r="F5" s="377"/>
      <c r="G5" s="24" t="s">
        <v>821</v>
      </c>
      <c r="H5" s="17"/>
    </row>
    <row r="6" spans="1:9" s="392" customFormat="1" ht="18">
      <c r="A6" s="393" t="s">
        <v>159</v>
      </c>
      <c r="B6" s="391"/>
      <c r="C6" s="391"/>
      <c r="D6" s="391"/>
      <c r="E6" s="391"/>
      <c r="F6" s="391"/>
      <c r="G6" s="394"/>
      <c r="H6" s="395" t="s">
        <v>810</v>
      </c>
      <c r="I6" s="391"/>
    </row>
    <row r="7" spans="1:9">
      <c r="A7" s="467" t="s">
        <v>97</v>
      </c>
      <c r="B7" s="467"/>
      <c r="C7" s="467"/>
      <c r="D7" s="467"/>
      <c r="E7" s="467"/>
      <c r="F7" s="17"/>
      <c r="G7" s="17"/>
      <c r="H7" s="465" t="s">
        <v>811</v>
      </c>
    </row>
    <row r="8" spans="1:9">
      <c r="A8" s="378"/>
      <c r="B8" s="378"/>
      <c r="C8" s="378"/>
      <c r="D8" s="378"/>
      <c r="E8" s="378"/>
      <c r="F8" s="17"/>
      <c r="G8" s="17"/>
      <c r="H8" s="462" t="s">
        <v>812</v>
      </c>
    </row>
    <row r="9" spans="1:9" s="392" customFormat="1" ht="18">
      <c r="A9" s="390" t="s">
        <v>158</v>
      </c>
      <c r="B9" s="390"/>
      <c r="C9" s="390"/>
      <c r="D9" s="390"/>
      <c r="E9" s="390"/>
      <c r="F9" s="391"/>
      <c r="G9" s="391"/>
      <c r="H9" s="391"/>
      <c r="I9" s="391"/>
    </row>
    <row r="10" spans="1:9" ht="30">
      <c r="A10" s="21"/>
      <c r="B10" s="459"/>
      <c r="C10" s="21"/>
      <c r="D10" s="387" t="s">
        <v>807</v>
      </c>
      <c r="E10" s="388" t="s">
        <v>225</v>
      </c>
      <c r="F10" s="389" t="s">
        <v>808</v>
      </c>
      <c r="G10" s="389" t="s">
        <v>226</v>
      </c>
      <c r="H10" s="389" t="s">
        <v>809</v>
      </c>
    </row>
    <row r="11" spans="1:9" s="117" customFormat="1">
      <c r="A11" s="69" t="s">
        <v>98</v>
      </c>
      <c r="B11" s="460" t="s">
        <v>689</v>
      </c>
      <c r="C11" s="385">
        <f>F4</f>
        <v>43586</v>
      </c>
      <c r="D11" s="380" t="s">
        <v>804</v>
      </c>
      <c r="E11" s="381" t="str">
        <f>jour_1!A32</f>
        <v>Linguine au citron et au basilic, salade de crudités</v>
      </c>
      <c r="F11" s="382" t="str">
        <f>jour_1!B48</f>
        <v>cookie aux pépites chocolat</v>
      </c>
      <c r="G11" s="462" t="str">
        <f>jour_1!A51</f>
        <v>Côtes de veau au curry avec riz</v>
      </c>
      <c r="H11" s="382" t="str">
        <f>jour_1!A63</f>
        <v>Flan à la noix de coco</v>
      </c>
      <c r="I11" s="345"/>
    </row>
    <row r="12" spans="1:9">
      <c r="A12" s="69" t="s">
        <v>98</v>
      </c>
      <c r="B12" s="460" t="s">
        <v>769</v>
      </c>
      <c r="C12" s="386">
        <f>DATE(YEAR(C11),MONTH(C11),DAY(C11)+1)</f>
        <v>43587</v>
      </c>
      <c r="D12" s="383" t="s">
        <v>805</v>
      </c>
      <c r="E12" s="463" t="str">
        <f>jour_2!A31</f>
        <v>Quiche au légumes et aux lardons</v>
      </c>
      <c r="F12" s="379" t="str">
        <f>jour_2!B49</f>
        <v xml:space="preserve">yogourt grec de brebis </v>
      </c>
      <c r="G12" s="464" t="str">
        <f>jour_2!A54</f>
        <v>Dos de cabillaud au chorizo, purée et endives</v>
      </c>
      <c r="H12" s="379" t="str">
        <f>jour_2!A68</f>
        <v>Clafoutis à la rhubarbe et à la canelle</v>
      </c>
    </row>
    <row r="13" spans="1:9">
      <c r="A13" s="69" t="s">
        <v>98</v>
      </c>
      <c r="B13" s="460" t="s">
        <v>690</v>
      </c>
      <c r="C13" s="386">
        <f t="shared" ref="C13:C38" si="0">DATE(YEAR(C12),MONTH(C12),DAY(C12)+1)</f>
        <v>43588</v>
      </c>
      <c r="D13" s="383" t="s">
        <v>806</v>
      </c>
      <c r="E13" s="384" t="str">
        <f>jour_3!A30</f>
        <v>Croque-Madame au chèvre avec salade</v>
      </c>
      <c r="F13" s="379" t="str">
        <f>jour_3!B43</f>
        <v>pomme</v>
      </c>
      <c r="G13" s="463" t="str">
        <f>jour_3!A47</f>
        <v>Blanc de poulet tandoori, riz basmati, légumes</v>
      </c>
      <c r="H13" s="379" t="str">
        <f>jour_3!A67</f>
        <v>Tarte à la ricotta et aux fruits rouges</v>
      </c>
    </row>
    <row r="14" spans="1:9">
      <c r="A14" s="69" t="s">
        <v>98</v>
      </c>
      <c r="B14" s="460" t="s">
        <v>691</v>
      </c>
      <c r="C14" s="386">
        <f t="shared" si="0"/>
        <v>43589</v>
      </c>
      <c r="D14" s="380" t="s">
        <v>804</v>
      </c>
      <c r="E14" s="463" t="str">
        <f>jour_4!A31</f>
        <v>Gnochi au jambon cru et salade crudités</v>
      </c>
      <c r="F14" s="379" t="str">
        <f>jour_4!B49</f>
        <v>banane</v>
      </c>
      <c r="G14" s="464" t="str">
        <f>jour_4!A52</f>
        <v>Rouleau deux saumons et chou , boulgour</v>
      </c>
      <c r="H14" s="379" t="str">
        <f>jour_4!A67</f>
        <v>Mousse au café</v>
      </c>
    </row>
    <row r="15" spans="1:9">
      <c r="A15" s="69" t="s">
        <v>98</v>
      </c>
      <c r="B15" s="460" t="s">
        <v>692</v>
      </c>
      <c r="C15" s="386">
        <f t="shared" si="0"/>
        <v>43590</v>
      </c>
      <c r="D15" s="383" t="s">
        <v>805</v>
      </c>
      <c r="E15" s="384" t="str">
        <f>jour_5!A31</f>
        <v>Penne all'arrabatia + mesclun</v>
      </c>
      <c r="F15" s="379" t="str">
        <f>jour_5!B51</f>
        <v>yogourt grec</v>
      </c>
      <c r="G15" s="463" t="str">
        <f>jour_5!A55</f>
        <v>Bavette à la Lyonnaise , pommes de terre sautées et thian de légumes</v>
      </c>
      <c r="H15" s="379" t="str">
        <f>jour_5!A67</f>
        <v>Cake au citron</v>
      </c>
    </row>
    <row r="16" spans="1:9">
      <c r="A16" s="69" t="s">
        <v>98</v>
      </c>
      <c r="B16" s="460" t="s">
        <v>693</v>
      </c>
      <c r="C16" s="386">
        <f t="shared" si="0"/>
        <v>43591</v>
      </c>
      <c r="D16" s="383" t="s">
        <v>806</v>
      </c>
      <c r="E16" s="463" t="str">
        <f>jour_6!A30</f>
        <v>Salade de couscous aux merguez</v>
      </c>
      <c r="F16" s="379" t="str">
        <f>jour_6!B49</f>
        <v>petit-suisse</v>
      </c>
      <c r="G16" s="464" t="str">
        <f>jour_6!A54</f>
        <v xml:space="preserve">Truite aux lentilles </v>
      </c>
      <c r="H16" s="379" t="str">
        <f>jour_6!B68</f>
        <v>glace</v>
      </c>
    </row>
    <row r="17" spans="1:8">
      <c r="A17" s="69" t="s">
        <v>98</v>
      </c>
      <c r="B17" s="460" t="s">
        <v>694</v>
      </c>
      <c r="C17" s="386">
        <f t="shared" si="0"/>
        <v>43592</v>
      </c>
      <c r="D17" s="380" t="s">
        <v>804</v>
      </c>
      <c r="E17" s="384" t="s">
        <v>282</v>
      </c>
      <c r="F17" s="379" t="str">
        <f>jour_7!B49</f>
        <v>yogourt aux fruits</v>
      </c>
      <c r="G17" s="463" t="str">
        <f>jour_7!A56</f>
        <v>Lapin aux amandes, purée, épinards</v>
      </c>
      <c r="H17" s="379" t="str">
        <f>jour_7!B74</f>
        <v>pomme</v>
      </c>
    </row>
    <row r="18" spans="1:8">
      <c r="A18" s="69" t="s">
        <v>98</v>
      </c>
      <c r="B18" s="460" t="s">
        <v>697</v>
      </c>
      <c r="C18" s="386">
        <f t="shared" si="0"/>
        <v>43593</v>
      </c>
      <c r="D18" s="383" t="s">
        <v>805</v>
      </c>
      <c r="E18" s="463" t="str">
        <f>jour_8!A31</f>
        <v>Emincé de veau aux petits légumes</v>
      </c>
      <c r="F18" s="379" t="str">
        <f>jour_8!B46</f>
        <v>orange</v>
      </c>
      <c r="G18" s="384" t="str">
        <f>jour_8!A49</f>
        <v>Boulettes végétariennes et salade mixte</v>
      </c>
      <c r="H18" s="379" t="str">
        <f>jour_8!A69</f>
        <v>Verrine aux pommes et noisettes</v>
      </c>
    </row>
    <row r="19" spans="1:8">
      <c r="A19" s="69" t="s">
        <v>98</v>
      </c>
      <c r="B19" s="460" t="s">
        <v>700</v>
      </c>
      <c r="C19" s="386">
        <f t="shared" si="0"/>
        <v>43594</v>
      </c>
      <c r="D19" s="383" t="s">
        <v>806</v>
      </c>
      <c r="E19" s="464" t="str">
        <f>jour_9!A30</f>
        <v xml:space="preserve">Brochettes de lotte marinée, riz blanc et piperade </v>
      </c>
      <c r="F19" s="379" t="str">
        <f>jour_9!B54</f>
        <v>yogourt nature</v>
      </c>
      <c r="G19" s="384" t="str">
        <f>jour_9!A58</f>
        <v>Choix de fromages, pommes de terre vapeur, salade verte</v>
      </c>
      <c r="H19" s="379" t="str">
        <f>jour_9!A67</f>
        <v>Salade de fruits</v>
      </c>
    </row>
    <row r="20" spans="1:8">
      <c r="A20" s="69" t="s">
        <v>98</v>
      </c>
      <c r="B20" s="460" t="s">
        <v>721</v>
      </c>
      <c r="C20" s="386">
        <f t="shared" si="0"/>
        <v>43595</v>
      </c>
      <c r="D20" s="380" t="s">
        <v>804</v>
      </c>
      <c r="E20" s="384" t="str">
        <f>jour_10!A32</f>
        <v>Spaghetti à la crème d'aubergines, salade de carottes orange</v>
      </c>
      <c r="F20" s="379" t="str">
        <f>jour_10!B49</f>
        <v>cookie aux pépites chocolat</v>
      </c>
      <c r="G20" s="463" t="str">
        <f>jour_10!A52</f>
        <v>Cuisses de poulet chasseur, endives au soja</v>
      </c>
      <c r="H20" s="379" t="str">
        <f>jour_10!A69</f>
        <v>Verrine de ricotta au citron</v>
      </c>
    </row>
    <row r="21" spans="1:8">
      <c r="A21" s="69" t="s">
        <v>98</v>
      </c>
      <c r="B21" s="460" t="s">
        <v>729</v>
      </c>
      <c r="C21" s="386">
        <f t="shared" si="0"/>
        <v>43596</v>
      </c>
      <c r="D21" s="383" t="s">
        <v>805</v>
      </c>
      <c r="E21" s="384" t="str">
        <f>jour_11!A31</f>
        <v>Chili végétarien, blé Ebly, salade</v>
      </c>
      <c r="F21" s="379" t="str">
        <f>jour_11!B50</f>
        <v>pain de seigle</v>
      </c>
      <c r="G21" s="463" t="str">
        <f>jour_11!A54</f>
        <v>Foie de veau au bacon, pdt nouvelles, carottes au cumin</v>
      </c>
      <c r="H21" s="379" t="str">
        <f>jour_11!A68</f>
        <v>Mousse au chocolat</v>
      </c>
    </row>
    <row r="22" spans="1:8">
      <c r="A22" s="69" t="s">
        <v>98</v>
      </c>
      <c r="B22" s="460" t="s">
        <v>731</v>
      </c>
      <c r="C22" s="386">
        <f t="shared" si="0"/>
        <v>43597</v>
      </c>
      <c r="D22" s="383" t="s">
        <v>806</v>
      </c>
      <c r="E22" s="384" t="str">
        <f>jour_12!A30</f>
        <v>Risotto forestier à la sauge, salade de rampon</v>
      </c>
      <c r="F22" s="379" t="str">
        <f>jour_12!B49</f>
        <v xml:space="preserve">yogourt grec de brebis </v>
      </c>
      <c r="G22" s="463" t="str">
        <f>jour_12!A53</f>
        <v>Saucisson de Morteau et poireau en croûte, salade de tomates</v>
      </c>
      <c r="H22" s="379"/>
    </row>
    <row r="23" spans="1:8">
      <c r="A23" s="69" t="s">
        <v>98</v>
      </c>
      <c r="B23" s="460" t="s">
        <v>733</v>
      </c>
      <c r="C23" s="386">
        <f t="shared" si="0"/>
        <v>43598</v>
      </c>
      <c r="D23" s="380" t="s">
        <v>804</v>
      </c>
      <c r="E23" s="464" t="str">
        <f>jour_13!A32</f>
        <v>Salade de crevette, avocats et fenouils</v>
      </c>
      <c r="F23" s="379" t="str">
        <f>jour_13!B50</f>
        <v>barre de céréales aux fruits</v>
      </c>
      <c r="G23" s="463" t="str">
        <f>jour_13!A53</f>
        <v>Bœuf haché aux poivrons, pommes de terre au four</v>
      </c>
      <c r="H23" s="379"/>
    </row>
    <row r="24" spans="1:8">
      <c r="A24" s="69" t="s">
        <v>98</v>
      </c>
      <c r="B24" s="460" t="s">
        <v>734</v>
      </c>
      <c r="C24" s="386">
        <f t="shared" si="0"/>
        <v>43599</v>
      </c>
      <c r="D24" s="383" t="s">
        <v>805</v>
      </c>
      <c r="E24" s="463" t="str">
        <f>jour_14!A31</f>
        <v>Jambon à la crème</v>
      </c>
      <c r="F24" s="379" t="str">
        <f>jour_14!B48</f>
        <v>pomme</v>
      </c>
      <c r="G24" s="384" t="str">
        <f>jour_14!A52</f>
        <v>Couscous aux légumes</v>
      </c>
      <c r="H24" s="379" t="str">
        <f>jour_14!A74</f>
        <v>Poire au yogourt à la menthe</v>
      </c>
    </row>
    <row r="25" spans="1:8">
      <c r="A25" s="69" t="s">
        <v>98</v>
      </c>
      <c r="B25" s="460" t="s">
        <v>735</v>
      </c>
      <c r="C25" s="386">
        <f t="shared" si="0"/>
        <v>43600</v>
      </c>
      <c r="D25" s="383" t="s">
        <v>806</v>
      </c>
      <c r="E25" s="463" t="str">
        <f>jour_15!A30</f>
        <v>Tarte aux légumes et au jambon sec</v>
      </c>
      <c r="F25" s="379" t="str">
        <f>jour_15!B43</f>
        <v>orange</v>
      </c>
      <c r="G25" s="464" t="str">
        <f>jour_15!A51</f>
        <v>Filet de cabillaud à la tapenade, pâtes au basilic</v>
      </c>
      <c r="H25" s="379" t="str">
        <f>jour_15!A63</f>
        <v>Salade de fruits</v>
      </c>
    </row>
    <row r="26" spans="1:8">
      <c r="A26" s="69" t="s">
        <v>98</v>
      </c>
      <c r="B26" s="460" t="s">
        <v>736</v>
      </c>
      <c r="C26" s="386">
        <f t="shared" si="0"/>
        <v>43601</v>
      </c>
      <c r="D26" s="380" t="s">
        <v>804</v>
      </c>
      <c r="E26" s="384" t="str">
        <f>jour_16!A32</f>
        <v>Galettes de pommes de terre au Gruyères</v>
      </c>
      <c r="F26" s="379" t="str">
        <f>jour_16!B50</f>
        <v>banane</v>
      </c>
      <c r="G26" s="463" t="str">
        <f>jour_16!A53</f>
        <v>Filet d'agneau aux épices et son chou frisé</v>
      </c>
      <c r="H26" s="379" t="str">
        <f>jour_16!A67</f>
        <v>Mousse au citron sur genoise</v>
      </c>
    </row>
    <row r="27" spans="1:8">
      <c r="A27" s="69" t="s">
        <v>98</v>
      </c>
      <c r="B27" s="460" t="s">
        <v>738</v>
      </c>
      <c r="C27" s="386">
        <f t="shared" si="0"/>
        <v>43602</v>
      </c>
      <c r="D27" s="383" t="s">
        <v>805</v>
      </c>
      <c r="E27" s="463" t="str">
        <f>jour_17!A31</f>
        <v>Riz en salade à l'italienne</v>
      </c>
      <c r="F27" s="379" t="str">
        <f>jour_17!B48</f>
        <v>pomme</v>
      </c>
      <c r="G27" s="384" t="str">
        <f>jour_17!A52</f>
        <v>Spaghetti à la mode d'Ascona</v>
      </c>
      <c r="H27" s="379" t="str">
        <f>jour_17!A68</f>
        <v>Pommes au four et fruits secs</v>
      </c>
    </row>
    <row r="28" spans="1:8">
      <c r="A28" s="69" t="s">
        <v>98</v>
      </c>
      <c r="B28" s="460" t="s">
        <v>740</v>
      </c>
      <c r="C28" s="386">
        <f t="shared" si="0"/>
        <v>43603</v>
      </c>
      <c r="D28" s="383" t="s">
        <v>806</v>
      </c>
      <c r="E28" s="384" t="str">
        <f>jour_18!A30</f>
        <v>Samosas aux légumes</v>
      </c>
      <c r="F28" s="379" t="str">
        <f>jour_18!B55</f>
        <v>petit-suisse</v>
      </c>
      <c r="G28" s="464" t="str">
        <f>jour_18!A59</f>
        <v>Baudroie au curry et pommes vertes</v>
      </c>
      <c r="H28" s="379" t="str">
        <f>jour_18!A74</f>
        <v>Litchis et gelée de rose</v>
      </c>
    </row>
    <row r="29" spans="1:8">
      <c r="A29" s="69" t="s">
        <v>98</v>
      </c>
      <c r="B29" s="460" t="s">
        <v>753</v>
      </c>
      <c r="C29" s="386">
        <f t="shared" si="0"/>
        <v>43604</v>
      </c>
      <c r="D29" s="383" t="s">
        <v>805</v>
      </c>
      <c r="E29" s="384" t="str">
        <f>jour_19!A31</f>
        <v>Salade de chèvre chaud aux noix</v>
      </c>
      <c r="F29" s="379" t="str">
        <f>jour_19!B41</f>
        <v>yogourt grec</v>
      </c>
      <c r="G29" s="463" t="str">
        <f>jour_19!A49</f>
        <v>Entrecôte de boeuf mariné, frites, tomates provençales</v>
      </c>
      <c r="H29" s="379" t="str">
        <f>jour_19!A61</f>
        <v>Délice à la mangue et à l’ananas</v>
      </c>
    </row>
    <row r="30" spans="1:8">
      <c r="A30" s="69" t="s">
        <v>98</v>
      </c>
      <c r="B30" s="460" t="s">
        <v>754</v>
      </c>
      <c r="C30" s="386">
        <f t="shared" si="0"/>
        <v>43605</v>
      </c>
      <c r="D30" s="380" t="s">
        <v>804</v>
      </c>
      <c r="E30" s="384" t="str">
        <f>jour_20!A32</f>
        <v>Cocos blancs en sauce au potiron épicée</v>
      </c>
      <c r="F30" s="379" t="str">
        <f>jour_20!B55</f>
        <v>barre de céréales aux fruits</v>
      </c>
      <c r="G30" s="464" t="str">
        <f>jour_20!A58</f>
        <v>Risotto au saumon fumé, parfumé au chardonnay</v>
      </c>
      <c r="H30" s="379" t="str">
        <f>jour_20!A72</f>
        <v>Tartelette aux framboises</v>
      </c>
    </row>
    <row r="31" spans="1:8">
      <c r="A31" s="69" t="s">
        <v>98</v>
      </c>
      <c r="B31" s="460" t="s">
        <v>755</v>
      </c>
      <c r="C31" s="386">
        <f t="shared" si="0"/>
        <v>43606</v>
      </c>
      <c r="D31" s="383" t="s">
        <v>806</v>
      </c>
      <c r="E31" s="384" t="str">
        <f>jour_21!A30</f>
        <v>Burger de röstis aux légumes grillés</v>
      </c>
      <c r="F31" s="379" t="str">
        <f>jour_21!B46</f>
        <v>yogourt mocca</v>
      </c>
      <c r="G31" s="463" t="str">
        <f>jour_21!A49</f>
        <v>Porc au lait de coco , fusili et choux-fleur</v>
      </c>
      <c r="H31" s="379" t="str">
        <f>jour_21!A62</f>
        <v>Tarte légère aux pommes</v>
      </c>
    </row>
    <row r="32" spans="1:8">
      <c r="A32" s="69" t="s">
        <v>98</v>
      </c>
      <c r="B32" s="460" t="s">
        <v>757</v>
      </c>
      <c r="C32" s="386">
        <f t="shared" si="0"/>
        <v>43607</v>
      </c>
      <c r="D32" s="380" t="s">
        <v>804</v>
      </c>
      <c r="E32" s="384" t="str">
        <f>jour_22!A32</f>
        <v xml:space="preserve">Salade asiatique de vermicelles aux crevettes </v>
      </c>
      <c r="F32" s="379" t="str">
        <f>jour_22!B52</f>
        <v>meringues de Gruyères</v>
      </c>
      <c r="G32" s="464" t="str">
        <f>jour_22!A57</f>
        <v>Lasagne de la rivière au lac</v>
      </c>
      <c r="H32" s="379" t="str">
        <f>jour_22!A74</f>
        <v xml:space="preserve">Yogourt glacé aux myrtilles </v>
      </c>
    </row>
    <row r="33" spans="1:8">
      <c r="A33" s="69" t="s">
        <v>98</v>
      </c>
      <c r="B33" s="460" t="s">
        <v>758</v>
      </c>
      <c r="C33" s="386">
        <f t="shared" si="0"/>
        <v>43608</v>
      </c>
      <c r="D33" s="383" t="s">
        <v>805</v>
      </c>
      <c r="E33" s="463" t="str">
        <f>jour_23!A31</f>
        <v>Pizza aux courgettes et au lard</v>
      </c>
      <c r="F33" s="379" t="str">
        <f>jour_23!B47</f>
        <v>yogourt aux fruits</v>
      </c>
      <c r="G33" s="463" t="str">
        <f>jour_23!A50</f>
        <v xml:space="preserve">Cuisses de lapin sauce moutarde, polenta nera </v>
      </c>
      <c r="H33" s="379" t="str">
        <f>jour_23!A67</f>
        <v>Mousse de fromage blanc aux framboises </v>
      </c>
    </row>
    <row r="34" spans="1:8">
      <c r="A34" s="69" t="s">
        <v>98</v>
      </c>
      <c r="B34" s="460" t="s">
        <v>759</v>
      </c>
      <c r="C34" s="386">
        <f t="shared" si="0"/>
        <v>43609</v>
      </c>
      <c r="D34" s="383" t="s">
        <v>806</v>
      </c>
      <c r="E34" s="464" t="str">
        <f>jour_24!A30</f>
        <v>Dorade à la purée de laitue et d'oseille</v>
      </c>
      <c r="F34" s="379" t="str">
        <f>jour_24!B46</f>
        <v>petit-suisse</v>
      </c>
      <c r="G34" s="384" t="str">
        <f>jour_24!A50</f>
        <v>Betteraves et pommes de terre façon raclette</v>
      </c>
      <c r="H34" s="379"/>
    </row>
    <row r="35" spans="1:8">
      <c r="A35" s="69" t="s">
        <v>98</v>
      </c>
      <c r="B35" s="460" t="s">
        <v>763</v>
      </c>
      <c r="C35" s="386">
        <f t="shared" si="0"/>
        <v>43610</v>
      </c>
      <c r="D35" s="380" t="s">
        <v>804</v>
      </c>
      <c r="E35" s="384" t="str">
        <f>jour_25!A32</f>
        <v>Gratin de pâtes au safran et aux bolets</v>
      </c>
      <c r="F35" s="379" t="str">
        <f>jour_25!B51</f>
        <v>baton de glace enrobé de chocolat (75 g)</v>
      </c>
      <c r="G35" s="463" t="str">
        <f>jour_25!A54</f>
        <v>Brochettes de poulet au couscous</v>
      </c>
      <c r="H35" s="379" t="str">
        <f>jour_25!A68</f>
        <v>Mousse d'orange</v>
      </c>
    </row>
    <row r="36" spans="1:8">
      <c r="A36" s="69" t="s">
        <v>98</v>
      </c>
      <c r="B36" s="460" t="s">
        <v>770</v>
      </c>
      <c r="C36" s="386">
        <f t="shared" si="0"/>
        <v>43611</v>
      </c>
      <c r="D36" s="383" t="s">
        <v>805</v>
      </c>
      <c r="E36" s="384" t="str">
        <f>jour_26!A31</f>
        <v>Gratin de poireau et lentilles rouges</v>
      </c>
      <c r="F36" s="379" t="str">
        <f>jour_26!B42</f>
        <v>pamplemousse rose</v>
      </c>
      <c r="G36" s="464" t="str">
        <f>jour_26!A46</f>
        <v>Choucroute de poisson neptune crème au cerfeuil</v>
      </c>
      <c r="H36" s="379" t="str">
        <f>jour_26!A60</f>
        <v>Tartelette de vermicelles à la crème de marron</v>
      </c>
    </row>
    <row r="37" spans="1:8">
      <c r="A37" s="69" t="s">
        <v>98</v>
      </c>
      <c r="B37" s="460" t="s">
        <v>764</v>
      </c>
      <c r="C37" s="386">
        <f t="shared" si="0"/>
        <v>43612</v>
      </c>
      <c r="D37" s="383" t="s">
        <v>806</v>
      </c>
      <c r="E37" s="384" t="str">
        <f>jour_27!A30</f>
        <v>Omelette au poivron et mozzarella</v>
      </c>
      <c r="F37" s="379" t="str">
        <f>jour_27!B46</f>
        <v>yogourt grec</v>
      </c>
      <c r="G37" s="463" t="str">
        <f>jour_27!A50</f>
        <v>Emincé de veau à la zurichoise avec ses röstis</v>
      </c>
      <c r="H37" s="379" t="str">
        <f>jour_27!A70</f>
        <v>Panna cotta au lime et compote de pêches</v>
      </c>
    </row>
    <row r="38" spans="1:8">
      <c r="A38" s="69" t="s">
        <v>98</v>
      </c>
      <c r="B38" s="460" t="s">
        <v>768</v>
      </c>
      <c r="C38" s="109">
        <f t="shared" si="0"/>
        <v>43613</v>
      </c>
      <c r="D38" s="380" t="s">
        <v>804</v>
      </c>
      <c r="E38" s="464" t="str">
        <f>jour_28!A32</f>
        <v>Spaghetti aux calamars</v>
      </c>
      <c r="F38" s="379" t="str">
        <f>jour_28!B49</f>
        <v>nougat glacé</v>
      </c>
      <c r="G38" s="463" t="str">
        <f>jour_28!A52</f>
        <v>Côtes d'agneau et légumes toutes saveurs</v>
      </c>
      <c r="H38" s="379" t="str">
        <f>jour_28!A68</f>
        <v>Gâteau confit de pommes</v>
      </c>
    </row>
    <row r="39" spans="1:8" ht="409" customHeight="1">
      <c r="A39" s="17"/>
      <c r="B39" s="17"/>
      <c r="C39" s="17"/>
      <c r="D39" s="17"/>
      <c r="E39" s="17"/>
      <c r="F39" s="17"/>
      <c r="G39" s="17"/>
      <c r="H39" s="17"/>
    </row>
    <row r="40" spans="1:8">
      <c r="A40" s="17"/>
      <c r="B40" s="17"/>
      <c r="C40" s="17"/>
      <c r="D40" s="17"/>
      <c r="E40" s="17"/>
      <c r="F40" s="17"/>
      <c r="G40" s="17"/>
      <c r="H40" s="17"/>
    </row>
    <row r="41" spans="1:8">
      <c r="A41" s="17"/>
      <c r="B41" s="17"/>
      <c r="C41" s="17"/>
      <c r="D41" s="17"/>
      <c r="E41" s="17"/>
      <c r="F41" s="17"/>
      <c r="G41" s="17"/>
      <c r="H41" s="17"/>
    </row>
    <row r="42" spans="1:8">
      <c r="A42" s="17"/>
      <c r="B42" s="17"/>
      <c r="C42" s="17"/>
      <c r="D42" s="17"/>
      <c r="E42" s="17"/>
      <c r="F42" s="17"/>
      <c r="G42" s="17"/>
      <c r="H42" s="17"/>
    </row>
    <row r="43" spans="1:8">
      <c r="A43" s="17"/>
      <c r="B43" s="17"/>
      <c r="C43" s="17"/>
      <c r="D43" s="17"/>
      <c r="E43" s="17"/>
      <c r="F43" s="17"/>
      <c r="G43" s="17"/>
      <c r="H43" s="17"/>
    </row>
    <row r="44" spans="1:8">
      <c r="A44" s="17"/>
      <c r="B44" s="17"/>
      <c r="C44" s="17"/>
      <c r="D44" s="17"/>
      <c r="E44" s="17"/>
      <c r="F44" s="17"/>
      <c r="G44" s="17"/>
      <c r="H44" s="17"/>
    </row>
  </sheetData>
  <sheetProtection password="A5F4" sheet="1" objects="1" scenarios="1" selectLockedCells="1"/>
  <mergeCells count="1">
    <mergeCell ref="A7:E7"/>
  </mergeCells>
  <hyperlinks>
    <hyperlink ref="B11" location="jour_1!A1" display="Journée A"/>
    <hyperlink ref="A7" location="bilan!A1" display="&gt;&gt;&gt; Faites le point sur vos dépenses et vos besoins caloriques"/>
    <hyperlink ref="B7" location="bilan!A1" display="bilan!A1"/>
    <hyperlink ref="C7" location="bilan!A1" display="bilan!A1"/>
    <hyperlink ref="D7" location="bilan!A1" display="bilan!A1"/>
    <hyperlink ref="E7" location="bilan!A1" display="bilan!A1"/>
    <hyperlink ref="B12" location="jour_2!A1" display="Journée B"/>
    <hyperlink ref="B13" location="jour_3!A1" display="Journée C"/>
    <hyperlink ref="B14" location="jour_4!A1" display="Journée D"/>
    <hyperlink ref="B15" location="jour_5!A1" display="Journée E"/>
    <hyperlink ref="B16" location="jour_6!A1" display="Journée 6"/>
    <hyperlink ref="B17" location="jour_7!A1" display="Journée 7"/>
    <hyperlink ref="B18" location="jour_8!A1" display="Journée H"/>
    <hyperlink ref="B19" location="jour_9!A1" display="Journée I"/>
    <hyperlink ref="B20" location="jour_10!A1" display="Journée J"/>
    <hyperlink ref="B21" location="jour_11!A1" display="Journée K"/>
    <hyperlink ref="B22" location="jour_12!A1" display="Journée L"/>
    <hyperlink ref="B23" location="jour_13!A1" display="Journée 13"/>
    <hyperlink ref="B24" location="jour_14!A1" display="Journée 14"/>
    <hyperlink ref="B25" location="jour_15!A1" display="Journée O"/>
    <hyperlink ref="B26" location="jour_16!A1" display="Journée P"/>
    <hyperlink ref="B27" location="jour_17!A1" display="Journée Q"/>
    <hyperlink ref="B28" location="jour_18!A1" display="Journée R"/>
    <hyperlink ref="B29" location="jour_19!A1" display="Journée S"/>
    <hyperlink ref="B30" location="jour_20!A1" display="Journée T"/>
    <hyperlink ref="B31" location="jour_21!A1" display="Journée U"/>
    <hyperlink ref="B32" location="jour_22!A1" display="Journée V"/>
    <hyperlink ref="B33" location="jour_23!A1" display="Journée W"/>
    <hyperlink ref="B34" location="jour_24!A1" display="Journée X"/>
    <hyperlink ref="B35" location="jour_25!A1" display="Journée Y"/>
    <hyperlink ref="B36" location="jour_26!A1" display="Journée 26"/>
    <hyperlink ref="B37" location="jour_27!A1" display="Journée AA"/>
    <hyperlink ref="B38" location="jour_28!A1" display="Journée BB"/>
  </hyperlink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4"/>
  <sheetViews>
    <sheetView workbookViewId="0">
      <selection activeCell="B6" sqref="B6"/>
    </sheetView>
  </sheetViews>
  <sheetFormatPr baseColWidth="10" defaultRowHeight="15" x14ac:dyDescent="0"/>
  <cols>
    <col min="1" max="1" width="17.33203125" style="117" customWidth="1"/>
    <col min="2" max="2" width="9.83203125" customWidth="1"/>
    <col min="3" max="3" width="13.5" customWidth="1"/>
    <col min="4" max="4" width="9.83203125" customWidth="1"/>
    <col min="5" max="5" width="8.1640625" customWidth="1"/>
    <col min="6" max="6" width="15.5" customWidth="1"/>
    <col min="7" max="7" width="15.83203125" customWidth="1"/>
    <col min="8" max="8" width="191.6640625" style="17" customWidth="1"/>
    <col min="9" max="9" width="13.6640625" customWidth="1"/>
    <col min="10" max="10" width="4.83203125" customWidth="1"/>
  </cols>
  <sheetData>
    <row r="1" spans="1:9" ht="20" customHeight="1">
      <c r="A1" s="110" t="s">
        <v>92</v>
      </c>
      <c r="B1" s="100"/>
      <c r="C1" s="100"/>
      <c r="D1" s="100"/>
      <c r="E1" s="100"/>
      <c r="F1" s="100"/>
      <c r="G1" s="101"/>
      <c r="H1" s="42"/>
      <c r="I1" s="17"/>
    </row>
    <row r="2" spans="1:9" ht="294" customHeight="1">
      <c r="A2" s="472" t="s">
        <v>813</v>
      </c>
      <c r="B2" s="473"/>
      <c r="C2" s="473"/>
      <c r="D2" s="473"/>
      <c r="E2" s="473"/>
      <c r="F2" s="473"/>
      <c r="G2" s="474"/>
      <c r="H2" s="369"/>
      <c r="I2" s="17"/>
    </row>
    <row r="3" spans="1:9" ht="183" customHeight="1">
      <c r="A3" s="475" t="s">
        <v>814</v>
      </c>
      <c r="B3" s="476"/>
      <c r="C3" s="476"/>
      <c r="D3" s="476"/>
      <c r="E3" s="476"/>
      <c r="F3" s="476"/>
      <c r="G3" s="477"/>
      <c r="H3" s="350"/>
      <c r="I3" s="17"/>
    </row>
    <row r="4" spans="1:9" ht="25" customHeight="1">
      <c r="A4" s="345"/>
      <c r="D4" s="402"/>
      <c r="E4" s="17"/>
      <c r="G4" s="403" t="s">
        <v>815</v>
      </c>
      <c r="H4" s="371"/>
      <c r="I4" s="17"/>
    </row>
    <row r="5" spans="1:9" ht="18">
      <c r="A5" s="99" t="s">
        <v>84</v>
      </c>
      <c r="B5" s="100"/>
      <c r="C5" s="100"/>
      <c r="D5" s="100"/>
      <c r="E5" s="100"/>
      <c r="F5" s="100"/>
      <c r="G5" s="101"/>
      <c r="H5" s="42"/>
      <c r="I5" s="17"/>
    </row>
    <row r="6" spans="1:9">
      <c r="A6" s="346" t="s">
        <v>39</v>
      </c>
      <c r="B6" s="419">
        <v>43539</v>
      </c>
      <c r="C6" s="106" t="s">
        <v>91</v>
      </c>
      <c r="D6" s="42"/>
      <c r="E6" s="42"/>
      <c r="F6" s="42"/>
      <c r="G6" s="103"/>
      <c r="H6" s="42"/>
      <c r="I6" s="17"/>
    </row>
    <row r="7" spans="1:9">
      <c r="A7" s="347" t="s">
        <v>40</v>
      </c>
      <c r="B7" s="420">
        <v>78</v>
      </c>
      <c r="C7" s="38" t="s">
        <v>86</v>
      </c>
      <c r="D7" s="38"/>
      <c r="E7" s="38"/>
      <c r="F7" s="38"/>
      <c r="G7" s="40"/>
      <c r="H7" s="42"/>
      <c r="I7" s="17"/>
    </row>
    <row r="8" spans="1:9" ht="10" customHeight="1">
      <c r="A8" s="345"/>
      <c r="B8" s="104"/>
      <c r="C8" s="17"/>
      <c r="D8" s="17"/>
      <c r="E8" s="17"/>
      <c r="F8" s="17"/>
      <c r="G8" s="17"/>
      <c r="I8" s="17"/>
    </row>
    <row r="9" spans="1:9" ht="18">
      <c r="A9" s="99" t="s">
        <v>83</v>
      </c>
      <c r="B9" s="100"/>
      <c r="C9" s="100"/>
      <c r="D9" s="100"/>
      <c r="E9" s="100"/>
      <c r="F9" s="100"/>
      <c r="G9" s="101"/>
      <c r="H9" s="42"/>
      <c r="I9" s="17"/>
    </row>
    <row r="10" spans="1:9" ht="9" customHeight="1">
      <c r="A10" s="346"/>
      <c r="B10" s="89"/>
      <c r="C10" s="42"/>
      <c r="D10" s="42"/>
      <c r="E10" s="42"/>
      <c r="F10" s="42"/>
      <c r="G10" s="103"/>
      <c r="H10" s="42"/>
      <c r="I10" s="17"/>
    </row>
    <row r="11" spans="1:9">
      <c r="A11" s="346"/>
      <c r="B11" s="89"/>
      <c r="C11" s="90" t="s">
        <v>62</v>
      </c>
      <c r="D11" s="478" t="s">
        <v>93</v>
      </c>
      <c r="E11" s="479"/>
      <c r="F11" s="93" t="s">
        <v>63</v>
      </c>
      <c r="G11" s="92" t="s">
        <v>64</v>
      </c>
      <c r="H11" s="238"/>
      <c r="I11" s="17"/>
    </row>
    <row r="12" spans="1:9">
      <c r="A12" s="105"/>
      <c r="B12" s="89"/>
      <c r="C12" s="111" t="s">
        <v>61</v>
      </c>
      <c r="D12" s="75" t="s">
        <v>42</v>
      </c>
      <c r="E12" s="91" t="s">
        <v>43</v>
      </c>
      <c r="F12" s="94" t="s">
        <v>94</v>
      </c>
      <c r="G12" s="112" t="s">
        <v>61</v>
      </c>
      <c r="H12" s="238"/>
      <c r="I12" s="18"/>
    </row>
    <row r="13" spans="1:9" ht="13" customHeight="1">
      <c r="A13" s="76" t="s">
        <v>41</v>
      </c>
      <c r="B13" s="77"/>
      <c r="C13" s="397"/>
      <c r="D13" s="398"/>
      <c r="E13" s="397"/>
      <c r="F13" s="95"/>
      <c r="G13" s="78"/>
      <c r="H13" s="372"/>
      <c r="I13" s="86"/>
    </row>
    <row r="14" spans="1:9" ht="15" customHeight="1">
      <c r="A14" s="220" t="s">
        <v>44</v>
      </c>
      <c r="B14" s="108">
        <f>B6</f>
        <v>43539</v>
      </c>
      <c r="C14" s="421">
        <v>2200</v>
      </c>
      <c r="D14" s="422">
        <v>2</v>
      </c>
      <c r="E14" s="423"/>
      <c r="F14" s="424">
        <v>4200</v>
      </c>
      <c r="G14" s="425">
        <v>500</v>
      </c>
      <c r="H14" s="370"/>
      <c r="I14" s="86"/>
    </row>
    <row r="15" spans="1:9">
      <c r="A15" s="348" t="s">
        <v>45</v>
      </c>
      <c r="B15" s="109">
        <f>DATE(YEAR(B14),MONTH(B14),DAY(B14)+1)</f>
        <v>43540</v>
      </c>
      <c r="C15" s="426">
        <v>2300</v>
      </c>
      <c r="D15" s="427"/>
      <c r="E15" s="428">
        <v>0.4</v>
      </c>
      <c r="F15" s="429">
        <v>4500</v>
      </c>
      <c r="G15" s="430"/>
      <c r="H15" s="373"/>
      <c r="I15" s="86"/>
    </row>
    <row r="16" spans="1:9">
      <c r="A16" s="220" t="s">
        <v>46</v>
      </c>
      <c r="B16" s="108">
        <f t="shared" ref="B16:B28" si="0">DATE(YEAR(B15),MONTH(B15),DAY(B15)+1)</f>
        <v>43541</v>
      </c>
      <c r="C16" s="421">
        <v>2300</v>
      </c>
      <c r="D16" s="431">
        <v>2.5</v>
      </c>
      <c r="E16" s="432"/>
      <c r="F16" s="433">
        <v>3600</v>
      </c>
      <c r="G16" s="434"/>
      <c r="H16" s="373"/>
      <c r="I16" s="86"/>
    </row>
    <row r="17" spans="1:9">
      <c r="A17" s="348" t="s">
        <v>47</v>
      </c>
      <c r="B17" s="109">
        <f t="shared" si="0"/>
        <v>43542</v>
      </c>
      <c r="C17" s="426">
        <v>2300</v>
      </c>
      <c r="D17" s="427">
        <v>3</v>
      </c>
      <c r="E17" s="428"/>
      <c r="F17" s="429">
        <v>5200</v>
      </c>
      <c r="G17" s="430">
        <v>200</v>
      </c>
      <c r="H17" s="373"/>
      <c r="I17" s="86"/>
    </row>
    <row r="18" spans="1:9">
      <c r="A18" s="220" t="s">
        <v>48</v>
      </c>
      <c r="B18" s="108">
        <f t="shared" si="0"/>
        <v>43543</v>
      </c>
      <c r="C18" s="421">
        <v>2100</v>
      </c>
      <c r="D18" s="431"/>
      <c r="E18" s="432"/>
      <c r="F18" s="433">
        <v>5500</v>
      </c>
      <c r="G18" s="434"/>
      <c r="H18" s="373"/>
      <c r="I18" s="86"/>
    </row>
    <row r="19" spans="1:9">
      <c r="A19" s="348" t="s">
        <v>49</v>
      </c>
      <c r="B19" s="109">
        <f t="shared" si="0"/>
        <v>43544</v>
      </c>
      <c r="C19" s="426">
        <v>2100</v>
      </c>
      <c r="D19" s="427">
        <v>2</v>
      </c>
      <c r="E19" s="428"/>
      <c r="F19" s="429">
        <v>3800</v>
      </c>
      <c r="G19" s="430">
        <v>300</v>
      </c>
      <c r="H19" s="373"/>
      <c r="I19" s="86"/>
    </row>
    <row r="20" spans="1:9">
      <c r="A20" s="220" t="s">
        <v>50</v>
      </c>
      <c r="B20" s="108">
        <f t="shared" si="0"/>
        <v>43545</v>
      </c>
      <c r="C20" s="421">
        <v>2200</v>
      </c>
      <c r="D20" s="431">
        <v>3.5</v>
      </c>
      <c r="E20" s="432">
        <v>0.4</v>
      </c>
      <c r="F20" s="433">
        <v>2500</v>
      </c>
      <c r="G20" s="434">
        <v>200</v>
      </c>
      <c r="H20" s="373"/>
      <c r="I20" s="86"/>
    </row>
    <row r="21" spans="1:9" ht="13" customHeight="1">
      <c r="A21" s="76" t="s">
        <v>51</v>
      </c>
      <c r="B21" s="77"/>
      <c r="C21" s="96"/>
      <c r="D21" s="396"/>
      <c r="E21" s="396"/>
      <c r="F21" s="95"/>
      <c r="G21" s="97"/>
      <c r="H21" s="373"/>
      <c r="I21" s="86"/>
    </row>
    <row r="22" spans="1:9">
      <c r="A22" s="220" t="s">
        <v>52</v>
      </c>
      <c r="B22" s="418">
        <f>DATE(YEAR(B20),MONTH(B20),DAY(B20)+1)</f>
        <v>43546</v>
      </c>
      <c r="C22" s="421">
        <v>2300</v>
      </c>
      <c r="D22" s="431"/>
      <c r="E22" s="432"/>
      <c r="F22" s="433">
        <v>4000</v>
      </c>
      <c r="G22" s="434">
        <v>500</v>
      </c>
      <c r="H22" s="373"/>
      <c r="I22" s="86"/>
    </row>
    <row r="23" spans="1:9">
      <c r="A23" s="348" t="s">
        <v>53</v>
      </c>
      <c r="B23" s="109">
        <f t="shared" si="0"/>
        <v>43547</v>
      </c>
      <c r="C23" s="426">
        <v>2500</v>
      </c>
      <c r="D23" s="427">
        <v>2</v>
      </c>
      <c r="E23" s="428">
        <v>0.2</v>
      </c>
      <c r="F23" s="429">
        <v>4500</v>
      </c>
      <c r="G23" s="430"/>
      <c r="H23" s="374"/>
      <c r="I23" s="86"/>
    </row>
    <row r="24" spans="1:9">
      <c r="A24" s="220" t="s">
        <v>54</v>
      </c>
      <c r="B24" s="108">
        <f t="shared" si="0"/>
        <v>43548</v>
      </c>
      <c r="C24" s="421">
        <v>1950</v>
      </c>
      <c r="D24" s="431">
        <v>2.5</v>
      </c>
      <c r="E24" s="432"/>
      <c r="F24" s="433">
        <v>6200</v>
      </c>
      <c r="G24" s="434"/>
      <c r="H24" s="373"/>
      <c r="I24" s="86"/>
    </row>
    <row r="25" spans="1:9">
      <c r="A25" s="348" t="s">
        <v>55</v>
      </c>
      <c r="B25" s="109">
        <f t="shared" si="0"/>
        <v>43549</v>
      </c>
      <c r="C25" s="426">
        <v>2300</v>
      </c>
      <c r="D25" s="427"/>
      <c r="E25" s="428">
        <v>0.2</v>
      </c>
      <c r="F25" s="429">
        <v>4800</v>
      </c>
      <c r="G25" s="430">
        <v>200</v>
      </c>
      <c r="H25" s="373"/>
      <c r="I25" s="86"/>
    </row>
    <row r="26" spans="1:9">
      <c r="A26" s="220" t="s">
        <v>56</v>
      </c>
      <c r="B26" s="108">
        <f t="shared" si="0"/>
        <v>43550</v>
      </c>
      <c r="C26" s="421">
        <v>2200</v>
      </c>
      <c r="D26" s="431"/>
      <c r="E26" s="432"/>
      <c r="F26" s="433">
        <v>3000</v>
      </c>
      <c r="G26" s="434"/>
      <c r="H26" s="373"/>
      <c r="I26" s="86"/>
    </row>
    <row r="27" spans="1:9">
      <c r="A27" s="348" t="s">
        <v>57</v>
      </c>
      <c r="B27" s="109">
        <f t="shared" si="0"/>
        <v>43551</v>
      </c>
      <c r="C27" s="426">
        <v>2200</v>
      </c>
      <c r="D27" s="427">
        <v>2</v>
      </c>
      <c r="E27" s="428"/>
      <c r="F27" s="429">
        <v>4100</v>
      </c>
      <c r="G27" s="430">
        <v>300</v>
      </c>
      <c r="H27" s="373"/>
      <c r="I27" s="86"/>
    </row>
    <row r="28" spans="1:9">
      <c r="A28" s="220" t="s">
        <v>58</v>
      </c>
      <c r="B28" s="108">
        <f t="shared" si="0"/>
        <v>43552</v>
      </c>
      <c r="C28" s="421">
        <v>2400</v>
      </c>
      <c r="D28" s="431"/>
      <c r="E28" s="432"/>
      <c r="F28" s="433">
        <v>3500</v>
      </c>
      <c r="G28" s="434">
        <v>200</v>
      </c>
      <c r="H28" s="373"/>
      <c r="I28" s="86"/>
    </row>
    <row r="29" spans="1:9" s="4" customFormat="1" ht="12" customHeight="1">
      <c r="A29" s="346"/>
      <c r="B29" s="89"/>
      <c r="C29" s="87"/>
      <c r="D29" s="88"/>
      <c r="E29" s="88"/>
      <c r="F29" s="87"/>
      <c r="G29" s="102"/>
      <c r="H29" s="373"/>
      <c r="I29" s="42"/>
    </row>
    <row r="30" spans="1:9">
      <c r="A30" s="347" t="s">
        <v>59</v>
      </c>
      <c r="B30" s="420">
        <v>78.5</v>
      </c>
      <c r="C30" s="38" t="s">
        <v>85</v>
      </c>
      <c r="D30" s="38"/>
      <c r="E30" s="38"/>
      <c r="F30" s="38"/>
      <c r="G30" s="40"/>
      <c r="H30" s="373"/>
      <c r="I30" s="17"/>
    </row>
    <row r="31" spans="1:9">
      <c r="A31" s="345"/>
      <c r="C31" s="17"/>
      <c r="D31" s="17"/>
      <c r="E31" s="17"/>
      <c r="F31" s="17"/>
      <c r="G31" s="17"/>
      <c r="H31" s="370"/>
      <c r="I31" s="17"/>
    </row>
    <row r="32" spans="1:9" ht="21" customHeight="1">
      <c r="A32" s="99" t="s">
        <v>60</v>
      </c>
      <c r="B32" s="100"/>
      <c r="C32" s="100"/>
      <c r="D32" s="100"/>
      <c r="E32" s="100"/>
      <c r="F32" s="100"/>
      <c r="G32" s="101"/>
      <c r="H32" s="42"/>
    </row>
    <row r="33" spans="1:9">
      <c r="A33" s="356"/>
      <c r="B33" s="357"/>
      <c r="C33" s="357"/>
      <c r="D33" s="357"/>
      <c r="E33" s="357"/>
      <c r="F33" s="357"/>
      <c r="G33" s="358"/>
    </row>
    <row r="34" spans="1:9">
      <c r="A34" s="346" t="s">
        <v>772</v>
      </c>
      <c r="B34" s="42"/>
      <c r="C34" s="42"/>
      <c r="D34" s="42"/>
      <c r="E34" s="42"/>
      <c r="F34" s="42"/>
      <c r="G34" s="103"/>
      <c r="H34" s="42"/>
    </row>
    <row r="35" spans="1:9">
      <c r="A35" s="346" t="s">
        <v>781</v>
      </c>
      <c r="B35" s="42"/>
      <c r="C35" s="399"/>
      <c r="D35" s="363">
        <f>SUM(C14:C28)/14</f>
        <v>2239.2857142857142</v>
      </c>
      <c r="E35" s="41" t="s">
        <v>9</v>
      </c>
      <c r="F35" s="42"/>
      <c r="G35" s="103"/>
      <c r="H35" s="42"/>
    </row>
    <row r="36" spans="1:9">
      <c r="A36" s="346" t="s">
        <v>782</v>
      </c>
      <c r="B36" s="42"/>
      <c r="C36" s="399"/>
      <c r="D36" s="367">
        <f>((SUM(D14:D28)*90)+(SUM(E14:E28)*280))/14</f>
        <v>149.35714285714286</v>
      </c>
      <c r="E36" s="41" t="s">
        <v>783</v>
      </c>
      <c r="F36" s="42"/>
      <c r="G36" s="103"/>
      <c r="H36" s="42"/>
    </row>
    <row r="37" spans="1:9">
      <c r="A37" s="346" t="s">
        <v>786</v>
      </c>
      <c r="B37" s="42"/>
      <c r="C37" s="42"/>
      <c r="D37" s="364">
        <f>SUM(G14:G28)/14</f>
        <v>171.42857142857142</v>
      </c>
      <c r="E37" s="41" t="s">
        <v>9</v>
      </c>
      <c r="F37" s="42"/>
      <c r="G37" s="103"/>
      <c r="H37" s="42"/>
    </row>
    <row r="38" spans="1:9" ht="6" customHeight="1">
      <c r="A38" s="346"/>
      <c r="B38" s="42"/>
      <c r="C38" s="42"/>
      <c r="D38" s="359"/>
      <c r="E38" s="41"/>
      <c r="F38" s="42"/>
      <c r="G38" s="103"/>
      <c r="H38" s="42"/>
    </row>
    <row r="39" spans="1:9">
      <c r="A39" s="346" t="s">
        <v>777</v>
      </c>
      <c r="B39" s="42"/>
      <c r="C39" s="42"/>
      <c r="D39" s="42"/>
      <c r="E39" s="42"/>
      <c r="F39" s="42"/>
      <c r="G39" s="103"/>
      <c r="H39" s="42"/>
    </row>
    <row r="40" spans="1:9">
      <c r="A40" s="353"/>
      <c r="B40" s="351" t="s">
        <v>773</v>
      </c>
      <c r="C40" s="363">
        <f>D35+D36-D37</f>
        <v>2217.2142857142853</v>
      </c>
      <c r="D40" s="41" t="s">
        <v>9</v>
      </c>
      <c r="E40" s="42"/>
      <c r="F40" s="42"/>
      <c r="G40" s="103"/>
      <c r="H40" s="42"/>
    </row>
    <row r="41" spans="1:9" ht="17" customHeight="1">
      <c r="A41" s="360" t="s">
        <v>774</v>
      </c>
      <c r="B41" s="193" t="str">
        <f>IF(B30&gt;B7,"prendre","perdre")</f>
        <v>prendre</v>
      </c>
      <c r="C41" s="365">
        <f>ABS(I41)</f>
        <v>0.5</v>
      </c>
      <c r="D41" s="42" t="s">
        <v>771</v>
      </c>
      <c r="E41" s="42"/>
      <c r="F41" s="42"/>
      <c r="G41" s="103"/>
      <c r="H41" s="42"/>
      <c r="I41" s="352">
        <f>B30-B7</f>
        <v>0.5</v>
      </c>
    </row>
    <row r="42" spans="1:9">
      <c r="A42" s="346"/>
      <c r="B42" s="43" t="s">
        <v>775</v>
      </c>
      <c r="C42" s="365">
        <f>ABS(I42)</f>
        <v>1</v>
      </c>
      <c r="D42" s="42" t="s">
        <v>785</v>
      </c>
      <c r="E42" s="42"/>
      <c r="F42" s="42"/>
      <c r="G42" s="103"/>
      <c r="H42" s="42"/>
      <c r="I42" s="352">
        <f>I41*2</f>
        <v>1</v>
      </c>
    </row>
    <row r="43" spans="1:9">
      <c r="A43" s="346"/>
      <c r="B43" s="42"/>
      <c r="C43" s="351" t="s">
        <v>787</v>
      </c>
      <c r="D43" s="193" t="str">
        <f>IF(B30&gt;B7,"réduire","augmenter")</f>
        <v>réduire</v>
      </c>
      <c r="E43" s="42" t="s">
        <v>778</v>
      </c>
      <c r="F43" s="42"/>
      <c r="G43" s="103"/>
      <c r="H43" s="42"/>
    </row>
    <row r="44" spans="1:9" ht="15" customHeight="1">
      <c r="A44" s="346"/>
      <c r="B44" s="42"/>
      <c r="C44" s="4"/>
      <c r="D44" s="43" t="s">
        <v>779</v>
      </c>
      <c r="E44" s="366">
        <f>ABS(I42*7000)/28</f>
        <v>250</v>
      </c>
      <c r="F44" s="41" t="s">
        <v>776</v>
      </c>
      <c r="G44" s="103"/>
      <c r="H44" s="42"/>
    </row>
    <row r="45" spans="1:9" ht="15" customHeight="1">
      <c r="A45" s="346"/>
      <c r="B45" s="42"/>
      <c r="C45" s="351" t="s">
        <v>780</v>
      </c>
      <c r="D45" s="367">
        <f>C40-E44</f>
        <v>1967.2142857142853</v>
      </c>
      <c r="E45" s="41" t="s">
        <v>776</v>
      </c>
      <c r="F45" s="42"/>
      <c r="G45" s="103"/>
      <c r="H45" s="42"/>
    </row>
    <row r="46" spans="1:9" ht="7" customHeight="1">
      <c r="A46" s="346"/>
      <c r="B46" s="42"/>
      <c r="C46" s="42"/>
      <c r="D46" s="42"/>
      <c r="E46" s="42"/>
      <c r="F46" s="42"/>
      <c r="G46" s="103"/>
      <c r="H46" s="42"/>
    </row>
    <row r="47" spans="1:9" ht="16" customHeight="1">
      <c r="A47" s="346"/>
      <c r="B47" s="351" t="s">
        <v>788</v>
      </c>
      <c r="C47" s="435">
        <v>1</v>
      </c>
      <c r="D47" s="42" t="s">
        <v>88</v>
      </c>
      <c r="E47" s="42"/>
      <c r="F47" s="42"/>
      <c r="G47" s="103"/>
      <c r="H47" s="42"/>
    </row>
    <row r="48" spans="1:9" ht="16" customHeight="1">
      <c r="A48" s="346"/>
      <c r="B48" s="42"/>
      <c r="C48" s="351" t="s">
        <v>784</v>
      </c>
      <c r="D48" s="367">
        <f>D45-(C47*250)</f>
        <v>1717.2142857142853</v>
      </c>
      <c r="E48" s="361" t="s">
        <v>776</v>
      </c>
      <c r="F48" s="106"/>
      <c r="G48" s="355"/>
      <c r="H48" s="42"/>
    </row>
    <row r="49" spans="1:9" ht="19" customHeight="1">
      <c r="A49" s="346"/>
      <c r="B49" s="42"/>
      <c r="C49" s="42"/>
      <c r="D49" s="42"/>
      <c r="E49" s="42"/>
      <c r="F49" s="468" t="s">
        <v>82</v>
      </c>
      <c r="G49" s="469"/>
      <c r="H49" s="42"/>
    </row>
    <row r="50" spans="1:9" ht="30" customHeight="1">
      <c r="A50" s="368" t="s">
        <v>679</v>
      </c>
      <c r="B50" s="461" t="s">
        <v>99</v>
      </c>
      <c r="C50" s="362"/>
      <c r="D50" s="354"/>
      <c r="E50" s="38"/>
      <c r="F50" s="470"/>
      <c r="G50" s="471"/>
      <c r="H50" s="106"/>
    </row>
    <row r="51" spans="1:9">
      <c r="A51" s="17"/>
      <c r="B51" s="17"/>
      <c r="C51" s="17"/>
      <c r="D51" s="17"/>
      <c r="E51" s="17"/>
      <c r="F51" s="17"/>
      <c r="G51" s="17"/>
      <c r="H51" s="349"/>
      <c r="I51" s="345"/>
    </row>
    <row r="52" spans="1:9" ht="409" customHeight="1">
      <c r="A52" s="345"/>
      <c r="B52" s="17"/>
      <c r="C52" s="17"/>
      <c r="D52" s="17"/>
      <c r="E52" s="17"/>
      <c r="F52" s="17"/>
      <c r="G52" s="17"/>
      <c r="H52" s="349"/>
      <c r="I52" s="17"/>
    </row>
    <row r="53" spans="1:9" ht="233" customHeight="1">
      <c r="A53" s="345"/>
      <c r="B53" s="17"/>
      <c r="C53" s="17"/>
      <c r="D53" s="17"/>
      <c r="E53" s="17"/>
      <c r="F53" s="17"/>
      <c r="G53" s="17"/>
      <c r="I53" s="17"/>
    </row>
    <row r="54" spans="1:9">
      <c r="I54" s="17"/>
    </row>
  </sheetData>
  <sheetProtection password="A5F4" sheet="1" objects="1" scenarios="1" selectLockedCells="1"/>
  <mergeCells count="4">
    <mergeCell ref="F49:G50"/>
    <mergeCell ref="A2:G2"/>
    <mergeCell ref="A3:G3"/>
    <mergeCell ref="D11:E11"/>
  </mergeCells>
  <phoneticPr fontId="22" type="noConversion"/>
  <dataValidations xWindow="742" yWindow="316" count="5">
    <dataValidation allowBlank="1" showInputMessage="1" showErrorMessage="1" promptTitle="Apport calorique" prompt="Intégrez ici la somme des kcal obtenur grâce au calculateur Pan Metron (bilan journalier)._x000d_" sqref="C22:C28 C14:C16 C18:C20"/>
    <dataValidation allowBlank="1" showInputMessage="1" showErrorMessage="1" promptTitle="Déplacements réguliers" prompt="Attention: n'indiquez ici que le nombre de pas que vous faites régulièrement, par exemple pour vous rendre à votre travail._x000d_Les marches execptionnellles sont considérées comme des activités physique ponctuelles (colonne de droite)-_x000d_" sqref="F14:F16 F18:F28"/>
    <dataValidation allowBlank="1" showInputMessage="1" showErrorMessage="1" promptTitle="Déplacements réguliers" prompt="Attention: n'indiquez ici que le nombre de pas que vous faites régulièrement, par exemple pour vous rendre à votre travail._x000d_Les marches exceptionnellles sont considérées comme des activités physiques ponctuelles, à enregistrer dans la colonne de droite._x000d_" sqref="F17"/>
    <dataValidation allowBlank="1" showInputMessage="1" showErrorMessage="1" promptTitle="Apport calorique" prompt="Intégrez ici la somme des kcal due à votre alimentation et obtenue grâce au calculateur Pan Metron &quot;Bilan journalier&quot;._x000d_" sqref="C17"/>
    <dataValidation allowBlank="1" showInputMessage="1" showErrorMessage="1" promptTitle="Activités physiques" prompt="Pour vous aider à estimer la dépense calorique de vos activités physiques (marche, footing, vélo, etc.), utilisez le calculateur Pan Metron “Dépenses énergétiques&quot;." sqref="G22:G28 G14:G20 H24:H30 H15:H22"/>
  </dataValidations>
  <hyperlinks>
    <hyperlink ref="B50" location="sommaire!A1" display="RETOUR AU SOMMAIRE"/>
    <hyperlink ref="C50" location="sommaire!A1" display="sommaire!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xWindow="742" yWindow="316" count="1">
        <x14:dataValidation type="list" allowBlank="1" showInputMessage="1" showErrorMessage="1">
          <x14:formula1>
            <xm:f>d!$D$6:$D$8</xm:f>
          </x14:formula1>
          <xm:sqref>C47</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9"/>
  <sheetViews>
    <sheetView workbookViewId="0">
      <selection activeCell="D5" sqref="D5"/>
    </sheetView>
  </sheetViews>
  <sheetFormatPr baseColWidth="10" defaultRowHeight="15" x14ac:dyDescent="0"/>
  <cols>
    <col min="1" max="1" width="6.33203125" customWidth="1"/>
    <col min="2" max="2" width="24.6640625" style="5" customWidth="1"/>
    <col min="3" max="3" width="3.5" style="172" customWidth="1"/>
    <col min="4" max="5" width="8.1640625" customWidth="1"/>
    <col min="6" max="6" width="5" style="136" customWidth="1"/>
    <col min="7" max="7" width="1.83203125" style="136" customWidth="1"/>
    <col min="8" max="8" width="6.6640625" customWidth="1"/>
    <col min="9" max="9" width="24.5" customWidth="1"/>
    <col min="10" max="10" width="8.33203125" customWidth="1"/>
    <col min="11" max="11" width="6.6640625" style="228" customWidth="1"/>
    <col min="12" max="12" width="174.6640625" style="269" customWidth="1"/>
    <col min="13" max="13" width="6.6640625" style="407" customWidth="1"/>
    <col min="14" max="14" width="3.33203125" style="407" customWidth="1"/>
    <col min="15" max="15" width="8.83203125" style="407" customWidth="1"/>
    <col min="16" max="16" width="15.6640625" style="44" customWidth="1"/>
    <col min="17" max="17" width="10.83203125" style="44"/>
  </cols>
  <sheetData>
    <row r="1" spans="1:17" ht="19">
      <c r="A1" s="207" t="s">
        <v>678</v>
      </c>
      <c r="B1" s="120"/>
      <c r="C1" s="187"/>
      <c r="D1" s="121"/>
      <c r="E1" s="121"/>
      <c r="F1" s="122"/>
      <c r="G1" s="122"/>
      <c r="H1" s="122"/>
      <c r="I1" s="123" t="s">
        <v>101</v>
      </c>
      <c r="J1" s="266" t="s">
        <v>676</v>
      </c>
      <c r="P1"/>
      <c r="Q1"/>
    </row>
    <row r="2" spans="1:17">
      <c r="A2" s="17"/>
      <c r="B2" s="16" t="s">
        <v>12</v>
      </c>
      <c r="C2" s="188"/>
      <c r="D2" s="17"/>
      <c r="E2" s="17"/>
      <c r="F2" s="18"/>
      <c r="G2" s="18"/>
      <c r="H2" s="17"/>
      <c r="I2" s="17"/>
      <c r="J2" s="17"/>
      <c r="P2"/>
      <c r="Q2"/>
    </row>
    <row r="3" spans="1:17">
      <c r="A3" s="16" t="s">
        <v>19</v>
      </c>
      <c r="B3" s="16"/>
      <c r="C3" s="188"/>
      <c r="D3" s="15">
        <f>ROUND(F72,0)</f>
        <v>2001</v>
      </c>
      <c r="E3" s="17" t="s">
        <v>9</v>
      </c>
      <c r="F3" s="18"/>
      <c r="G3" s="18"/>
      <c r="H3" s="42"/>
      <c r="I3" s="42"/>
      <c r="J3" s="42"/>
      <c r="P3"/>
      <c r="Q3"/>
    </row>
    <row r="4" spans="1:17" ht="12" customHeight="1">
      <c r="A4" s="24" t="s">
        <v>26</v>
      </c>
      <c r="B4" s="16"/>
      <c r="C4" s="188"/>
      <c r="D4" s="19"/>
      <c r="E4" s="17"/>
      <c r="F4" s="18"/>
      <c r="G4" s="18"/>
      <c r="H4" s="17"/>
      <c r="I4" s="17"/>
      <c r="J4" s="17"/>
      <c r="P4"/>
      <c r="Q4"/>
    </row>
    <row r="5" spans="1:17">
      <c r="A5" s="16" t="s">
        <v>29</v>
      </c>
      <c r="B5" s="16"/>
      <c r="C5" s="189" t="s">
        <v>25</v>
      </c>
      <c r="D5" s="436" t="s">
        <v>10</v>
      </c>
      <c r="E5" s="17" t="str">
        <f>IF(D5="non","",IF(D5="1 verre",d!B22,d!B23))</f>
        <v/>
      </c>
      <c r="F5" s="18"/>
      <c r="G5" s="18"/>
      <c r="H5" s="17"/>
      <c r="I5" s="17"/>
      <c r="J5" s="17"/>
      <c r="P5"/>
      <c r="Q5"/>
    </row>
    <row r="6" spans="1:17">
      <c r="A6" s="16" t="s">
        <v>18</v>
      </c>
      <c r="B6" s="16"/>
      <c r="C6" s="188"/>
      <c r="D6" s="437">
        <v>200</v>
      </c>
      <c r="E6" s="17" t="s">
        <v>9</v>
      </c>
      <c r="G6" s="98" t="s">
        <v>100</v>
      </c>
      <c r="H6" s="404" t="s">
        <v>33</v>
      </c>
      <c r="I6" s="17"/>
      <c r="J6" s="17"/>
      <c r="P6"/>
      <c r="Q6"/>
    </row>
    <row r="7" spans="1:17">
      <c r="A7" s="21" t="s">
        <v>35</v>
      </c>
      <c r="B7" s="16"/>
      <c r="C7" s="189" t="s">
        <v>25</v>
      </c>
      <c r="D7" s="437">
        <v>1700</v>
      </c>
      <c r="E7" s="17" t="s">
        <v>9</v>
      </c>
      <c r="F7" s="18"/>
      <c r="G7" s="18"/>
      <c r="H7" s="405" t="s">
        <v>816</v>
      </c>
      <c r="I7" s="17"/>
      <c r="J7" s="17"/>
      <c r="P7"/>
      <c r="Q7"/>
    </row>
    <row r="8" spans="1:17" ht="45" customHeight="1">
      <c r="A8" s="17"/>
      <c r="B8" s="16"/>
      <c r="C8" s="188"/>
      <c r="D8" s="480" t="str">
        <f>IF(D5="non","",d!A24)</f>
        <v/>
      </c>
      <c r="E8" s="480"/>
      <c r="F8" s="480"/>
      <c r="G8" s="480"/>
      <c r="H8" s="480"/>
      <c r="I8" s="480"/>
      <c r="J8" s="480"/>
      <c r="K8" s="334"/>
      <c r="L8" s="270"/>
      <c r="P8"/>
      <c r="Q8"/>
    </row>
    <row r="9" spans="1:17" ht="6" customHeight="1">
      <c r="A9" s="17"/>
      <c r="B9" s="16"/>
      <c r="C9" s="188"/>
      <c r="D9" s="18"/>
      <c r="E9" s="17"/>
      <c r="F9" s="18"/>
      <c r="G9" s="18"/>
      <c r="H9" s="17"/>
      <c r="I9" s="17"/>
      <c r="J9" s="17"/>
      <c r="P9"/>
      <c r="Q9"/>
    </row>
    <row r="10" spans="1:17">
      <c r="A10" s="17"/>
      <c r="B10" s="26" t="s">
        <v>14</v>
      </c>
      <c r="C10" s="190"/>
      <c r="D10" s="28"/>
      <c r="E10" s="28"/>
      <c r="F10" s="133"/>
      <c r="G10" s="133"/>
      <c r="H10" s="28"/>
      <c r="I10" s="28"/>
      <c r="J10" s="29"/>
      <c r="P10"/>
      <c r="Q10"/>
    </row>
    <row r="11" spans="1:17">
      <c r="A11" s="17"/>
      <c r="B11" s="30" t="s">
        <v>15</v>
      </c>
      <c r="C11" s="191"/>
      <c r="D11" s="15">
        <f>D7+D6-E70</f>
        <v>1900</v>
      </c>
      <c r="E11" s="32" t="s">
        <v>7</v>
      </c>
      <c r="F11" s="31"/>
      <c r="G11" s="31"/>
      <c r="H11" s="33"/>
      <c r="I11" s="33"/>
      <c r="J11" s="34"/>
      <c r="L11" s="270"/>
      <c r="P11"/>
      <c r="Q11"/>
    </row>
    <row r="12" spans="1:17">
      <c r="A12" s="17"/>
      <c r="B12" s="30" t="s">
        <v>16</v>
      </c>
      <c r="C12" s="191"/>
      <c r="D12" s="23">
        <f>ABS(M13)</f>
        <v>101</v>
      </c>
      <c r="E12" s="32" t="s">
        <v>7</v>
      </c>
      <c r="F12" s="32" t="str">
        <f>IF(M13&gt;0,d!A44,d!A45)</f>
        <v>de moins que les menus Pan Metron du jour</v>
      </c>
      <c r="G12" s="31"/>
      <c r="H12" s="33"/>
      <c r="I12" s="33"/>
      <c r="J12" s="34"/>
      <c r="O12" s="269"/>
      <c r="P12"/>
      <c r="Q12"/>
    </row>
    <row r="13" spans="1:17" ht="13" customHeight="1">
      <c r="A13" s="24"/>
      <c r="B13" s="35"/>
      <c r="C13" s="192"/>
      <c r="D13" s="37"/>
      <c r="E13" s="1"/>
      <c r="F13" s="38" t="str">
        <f>IF(D5="non","",d!A46)</f>
        <v/>
      </c>
      <c r="G13" s="39"/>
      <c r="H13" s="38"/>
      <c r="I13" s="38"/>
      <c r="J13" s="40"/>
      <c r="M13" s="408">
        <f>D3+E70-D11</f>
        <v>101</v>
      </c>
      <c r="P13"/>
      <c r="Q13"/>
    </row>
    <row r="14" spans="1:17" ht="8" customHeight="1">
      <c r="A14" s="24"/>
      <c r="B14" s="41"/>
      <c r="C14" s="193"/>
      <c r="D14" s="19"/>
      <c r="E14" s="42"/>
      <c r="F14" s="43"/>
      <c r="G14" s="43"/>
      <c r="H14" s="42"/>
      <c r="I14" s="42"/>
      <c r="J14" s="42"/>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71"/>
      <c r="M15" s="409"/>
      <c r="P15"/>
      <c r="Q15"/>
    </row>
    <row r="16" spans="1:17" ht="12" customHeight="1">
      <c r="A16" s="17"/>
      <c r="B16" s="22"/>
      <c r="C16" s="194"/>
      <c r="D16" s="22"/>
      <c r="E16" s="22"/>
      <c r="F16" s="134"/>
      <c r="G16" s="134"/>
      <c r="H16" s="22"/>
      <c r="I16" s="22"/>
      <c r="J16" s="22"/>
      <c r="K16" s="22"/>
      <c r="L16" s="271"/>
      <c r="P16"/>
      <c r="Q16"/>
    </row>
    <row r="17" spans="1:20" ht="17" customHeight="1">
      <c r="A17" s="60" t="s">
        <v>24</v>
      </c>
      <c r="B17" s="61"/>
      <c r="C17" s="195"/>
      <c r="D17" s="61"/>
      <c r="E17" s="62"/>
      <c r="F17" s="134"/>
      <c r="G17" s="141"/>
      <c r="H17" s="57" t="s">
        <v>36</v>
      </c>
      <c r="I17" s="58"/>
      <c r="J17" s="59"/>
      <c r="K17" s="22"/>
      <c r="L17" s="271"/>
      <c r="M17" s="269" t="s">
        <v>133</v>
      </c>
      <c r="O17" s="410"/>
      <c r="Q17"/>
    </row>
    <row r="18" spans="1:20">
      <c r="A18" s="485" t="s">
        <v>11</v>
      </c>
      <c r="B18" s="483" t="s">
        <v>227</v>
      </c>
      <c r="C18" s="181"/>
      <c r="D18" s="481" t="s">
        <v>7</v>
      </c>
      <c r="E18" s="482"/>
      <c r="F18" s="18"/>
      <c r="G18" s="43"/>
      <c r="H18" s="487" t="str">
        <f>A18</f>
        <v>g/cl</v>
      </c>
      <c r="I18" s="489" t="str">
        <f>B18</f>
        <v>Ingrédients</v>
      </c>
      <c r="J18" s="70" t="s">
        <v>7</v>
      </c>
      <c r="M18" s="411">
        <f>100-(D12/((D11+D12)/100))</f>
        <v>94.952523738130935</v>
      </c>
      <c r="Q18"/>
    </row>
    <row r="19" spans="1:20" ht="12" customHeight="1">
      <c r="A19" s="486"/>
      <c r="B19" s="484"/>
      <c r="C19" s="73"/>
      <c r="D19" s="72" t="s">
        <v>22</v>
      </c>
      <c r="E19" s="73" t="s">
        <v>23</v>
      </c>
      <c r="F19" s="18"/>
      <c r="G19" s="43"/>
      <c r="H19" s="488"/>
      <c r="I19" s="490"/>
      <c r="J19" s="71" t="s">
        <v>23</v>
      </c>
      <c r="M19" s="269"/>
      <c r="Q19"/>
    </row>
    <row r="20" spans="1:20" ht="8" customHeight="1">
      <c r="A20" s="17"/>
      <c r="B20" s="16"/>
      <c r="C20" s="209"/>
      <c r="D20" s="17"/>
      <c r="E20" s="17"/>
      <c r="F20" s="18"/>
      <c r="G20" s="43"/>
      <c r="H20" s="17"/>
      <c r="I20" s="17"/>
      <c r="J20" s="17"/>
      <c r="P20"/>
      <c r="Q20"/>
    </row>
    <row r="21" spans="1:20">
      <c r="A21" s="216" t="s">
        <v>242</v>
      </c>
      <c r="B21" s="16"/>
      <c r="C21" s="209"/>
      <c r="D21" s="17"/>
      <c r="E21" s="17"/>
      <c r="F21" s="18"/>
      <c r="G21" s="43"/>
      <c r="H21" s="17"/>
      <c r="I21" s="17"/>
      <c r="J21" s="17"/>
      <c r="P21"/>
      <c r="Q21"/>
    </row>
    <row r="22" spans="1:20">
      <c r="A22" s="438">
        <v>30</v>
      </c>
      <c r="B22" s="2" t="s">
        <v>102</v>
      </c>
      <c r="C22" s="196" t="s">
        <v>673</v>
      </c>
      <c r="D22" s="51">
        <v>229</v>
      </c>
      <c r="E22" s="49">
        <f t="shared" ref="E22:E29" si="0">D22/100*A22</f>
        <v>68.7</v>
      </c>
      <c r="F22" s="18"/>
      <c r="G22" s="43"/>
      <c r="H22" s="55">
        <f t="shared" ref="H22:H29" si="1">IF(E22=0,A22,A22/E22*J22)</f>
        <v>28.485757121439281</v>
      </c>
      <c r="I22" s="2" t="str">
        <f t="shared" ref="I22:I29" si="2">B22</f>
        <v>pain complet</v>
      </c>
      <c r="J22" s="49">
        <f>E22*$M$18%</f>
        <v>65.23238380809596</v>
      </c>
      <c r="M22" s="411"/>
      <c r="R22" s="44"/>
      <c r="S22" s="44"/>
      <c r="T22" s="44"/>
    </row>
    <row r="23" spans="1:20" ht="15" customHeight="1">
      <c r="A23" s="438">
        <v>5</v>
      </c>
      <c r="B23" s="2" t="s">
        <v>0</v>
      </c>
      <c r="C23" s="197" t="s">
        <v>674</v>
      </c>
      <c r="D23" s="51">
        <v>747.3</v>
      </c>
      <c r="E23" s="49">
        <f t="shared" si="0"/>
        <v>37.365000000000002</v>
      </c>
      <c r="F23" s="18"/>
      <c r="G23" s="43"/>
      <c r="H23" s="55">
        <f t="shared" si="1"/>
        <v>4.7476261869065475</v>
      </c>
      <c r="I23" s="2" t="str">
        <f t="shared" si="2"/>
        <v>beurre</v>
      </c>
      <c r="J23" s="49">
        <f t="shared" ref="J23:J29" si="3">E23*$M$18%</f>
        <v>35.479010494752629</v>
      </c>
      <c r="R23" s="44"/>
      <c r="S23" s="44"/>
      <c r="T23" s="44"/>
    </row>
    <row r="24" spans="1:20" ht="15" customHeight="1">
      <c r="A24" s="438">
        <v>10</v>
      </c>
      <c r="B24" s="2" t="s">
        <v>3</v>
      </c>
      <c r="C24" s="197" t="s">
        <v>674</v>
      </c>
      <c r="D24" s="51">
        <v>246</v>
      </c>
      <c r="E24" s="49">
        <f t="shared" si="0"/>
        <v>24.6</v>
      </c>
      <c r="F24" s="18"/>
      <c r="G24" s="43"/>
      <c r="H24" s="55">
        <f t="shared" si="1"/>
        <v>9.4952523738130949</v>
      </c>
      <c r="I24" s="2" t="str">
        <f t="shared" si="2"/>
        <v>confiture</v>
      </c>
      <c r="J24" s="49">
        <f t="shared" si="3"/>
        <v>23.358320839580212</v>
      </c>
      <c r="R24" s="44"/>
      <c r="S24" s="44"/>
      <c r="T24" s="44"/>
    </row>
    <row r="25" spans="1:20">
      <c r="A25" s="438">
        <v>150</v>
      </c>
      <c r="B25" s="2" t="s">
        <v>1</v>
      </c>
      <c r="C25" s="198"/>
      <c r="D25" s="51">
        <v>0</v>
      </c>
      <c r="E25" s="49">
        <f t="shared" si="0"/>
        <v>0</v>
      </c>
      <c r="F25" s="18"/>
      <c r="G25" s="43"/>
      <c r="H25" s="55">
        <f t="shared" si="1"/>
        <v>150</v>
      </c>
      <c r="I25" s="2" t="str">
        <f t="shared" si="2"/>
        <v>café</v>
      </c>
      <c r="J25" s="49">
        <f t="shared" si="3"/>
        <v>0</v>
      </c>
      <c r="R25" s="44"/>
      <c r="S25" s="44"/>
      <c r="T25" s="44"/>
    </row>
    <row r="26" spans="1:20">
      <c r="A26" s="438">
        <v>4</v>
      </c>
      <c r="B26" s="2" t="s">
        <v>2</v>
      </c>
      <c r="C26" s="197" t="s">
        <v>674</v>
      </c>
      <c r="D26" s="51">
        <v>400</v>
      </c>
      <c r="E26" s="49">
        <f t="shared" si="0"/>
        <v>16</v>
      </c>
      <c r="F26" s="18"/>
      <c r="G26" s="43"/>
      <c r="H26" s="55">
        <f t="shared" si="1"/>
        <v>3.7981009495252374</v>
      </c>
      <c r="I26" s="2" t="str">
        <f t="shared" si="2"/>
        <v>sucre</v>
      </c>
      <c r="J26" s="49">
        <f t="shared" si="3"/>
        <v>15.192403798100949</v>
      </c>
      <c r="R26" s="44"/>
      <c r="S26" s="44"/>
      <c r="T26" s="44"/>
    </row>
    <row r="27" spans="1:20">
      <c r="A27" s="438">
        <v>12</v>
      </c>
      <c r="B27" s="2" t="s">
        <v>5</v>
      </c>
      <c r="C27" s="196" t="s">
        <v>673</v>
      </c>
      <c r="D27" s="51">
        <v>161</v>
      </c>
      <c r="E27" s="49">
        <f t="shared" si="0"/>
        <v>19.32</v>
      </c>
      <c r="F27" s="18"/>
      <c r="G27" s="43"/>
      <c r="H27" s="55">
        <f t="shared" si="1"/>
        <v>11.394302848575711</v>
      </c>
      <c r="I27" s="2" t="str">
        <f t="shared" si="2"/>
        <v>crème à café</v>
      </c>
      <c r="J27" s="49">
        <f t="shared" si="3"/>
        <v>18.344827586206897</v>
      </c>
      <c r="R27" s="44"/>
      <c r="S27" s="44"/>
      <c r="T27" s="44"/>
    </row>
    <row r="28" spans="1:20">
      <c r="A28" s="438">
        <v>125</v>
      </c>
      <c r="B28" s="2" t="s">
        <v>123</v>
      </c>
      <c r="C28" s="199" t="s">
        <v>675</v>
      </c>
      <c r="D28" s="51">
        <v>87</v>
      </c>
      <c r="E28" s="49">
        <f t="shared" si="0"/>
        <v>108.75</v>
      </c>
      <c r="F28" s="18"/>
      <c r="G28" s="43"/>
      <c r="H28" s="55">
        <f t="shared" si="1"/>
        <v>118.69065467266365</v>
      </c>
      <c r="I28" s="2" t="str">
        <f t="shared" si="2"/>
        <v>yogourt aux fruits</v>
      </c>
      <c r="J28" s="49">
        <f t="shared" si="3"/>
        <v>103.26086956521739</v>
      </c>
      <c r="R28" s="44"/>
      <c r="S28" s="44"/>
      <c r="T28" s="44"/>
    </row>
    <row r="29" spans="1:20">
      <c r="A29" s="438">
        <v>150</v>
      </c>
      <c r="B29" s="2" t="s">
        <v>103</v>
      </c>
      <c r="C29" s="199" t="s">
        <v>675</v>
      </c>
      <c r="D29" s="51">
        <v>45</v>
      </c>
      <c r="E29" s="49">
        <f t="shared" si="0"/>
        <v>67.5</v>
      </c>
      <c r="F29" s="68"/>
      <c r="G29" s="128"/>
      <c r="H29" s="55">
        <f t="shared" si="1"/>
        <v>142.4287856071964</v>
      </c>
      <c r="I29" s="2" t="str">
        <f t="shared" si="2"/>
        <v>jus d'orange maison</v>
      </c>
      <c r="J29" s="49">
        <f t="shared" si="3"/>
        <v>64.092953523238378</v>
      </c>
      <c r="K29" s="275"/>
      <c r="R29" s="44"/>
      <c r="S29" s="44"/>
      <c r="T29" s="44"/>
    </row>
    <row r="30" spans="1:20">
      <c r="A30" s="42"/>
      <c r="B30" s="131"/>
      <c r="C30" s="200"/>
      <c r="E30" s="130" t="s">
        <v>6</v>
      </c>
      <c r="F30" s="175">
        <f>SUM(E22:E29)</f>
        <v>342.23500000000001</v>
      </c>
      <c r="G30" s="128"/>
      <c r="H30" s="42"/>
      <c r="I30" s="131"/>
      <c r="J30" s="130" t="s">
        <v>6</v>
      </c>
      <c r="K30" s="336">
        <f>SUM(J22:J29)</f>
        <v>324.96076961519236</v>
      </c>
      <c r="R30" s="44"/>
      <c r="S30" s="44"/>
      <c r="T30" s="44"/>
    </row>
    <row r="31" spans="1:20">
      <c r="A31" s="216" t="s">
        <v>225</v>
      </c>
      <c r="B31" s="16"/>
      <c r="C31" s="209"/>
      <c r="D31" s="17"/>
      <c r="E31" s="17"/>
      <c r="F31" s="18"/>
      <c r="G31" s="43"/>
      <c r="H31" s="17"/>
      <c r="I31" s="17"/>
      <c r="J31" s="17"/>
      <c r="R31" s="44"/>
      <c r="S31" s="44"/>
      <c r="T31" s="44"/>
    </row>
    <row r="32" spans="1:20">
      <c r="A32" s="256" t="s">
        <v>112</v>
      </c>
      <c r="B32" s="257"/>
      <c r="C32" s="257"/>
      <c r="D32" s="257"/>
      <c r="E32" s="257"/>
      <c r="F32" s="257"/>
      <c r="G32" s="257"/>
      <c r="H32" s="257"/>
      <c r="I32" s="257"/>
      <c r="J32" s="258"/>
      <c r="R32" s="44"/>
      <c r="S32" s="44"/>
      <c r="T32" s="44"/>
    </row>
    <row r="33" spans="1:20">
      <c r="A33" s="439">
        <v>100</v>
      </c>
      <c r="B33" s="251" t="s">
        <v>217</v>
      </c>
      <c r="C33" s="252" t="s">
        <v>675</v>
      </c>
      <c r="D33" s="253">
        <v>116</v>
      </c>
      <c r="E33" s="254">
        <f t="shared" ref="E33:E42" si="4">D33/100*A33</f>
        <v>115.99999999999999</v>
      </c>
      <c r="F33" s="18"/>
      <c r="G33" s="43"/>
      <c r="H33" s="255">
        <f t="shared" ref="H33:H42" si="5">IF(E33=0,A33,A33/E33*J33)</f>
        <v>94.952523738130935</v>
      </c>
      <c r="I33" s="251" t="str">
        <f t="shared" ref="I33:I44" si="6">B33</f>
        <v>pâtes (crues)</v>
      </c>
      <c r="J33" s="254">
        <f t="shared" ref="J33:J44" si="7">E33*$M$18%</f>
        <v>110.14492753623188</v>
      </c>
      <c r="R33" s="44"/>
      <c r="S33" s="44"/>
      <c r="T33" s="44"/>
    </row>
    <row r="34" spans="1:20">
      <c r="A34" s="438">
        <v>12</v>
      </c>
      <c r="B34" s="2" t="s">
        <v>104</v>
      </c>
      <c r="C34" s="183" t="s">
        <v>675</v>
      </c>
      <c r="D34" s="51">
        <v>29</v>
      </c>
      <c r="E34" s="49">
        <f t="shared" si="4"/>
        <v>3.4799999999999995</v>
      </c>
      <c r="F34" s="68"/>
      <c r="G34" s="128"/>
      <c r="H34" s="55">
        <f t="shared" si="5"/>
        <v>11.394302848575713</v>
      </c>
      <c r="I34" s="2" t="str">
        <f t="shared" si="6"/>
        <v>jus de citron maison</v>
      </c>
      <c r="J34" s="254">
        <f t="shared" si="7"/>
        <v>3.3043478260869561</v>
      </c>
      <c r="R34" s="44"/>
      <c r="S34" s="44"/>
      <c r="T34" s="44"/>
    </row>
    <row r="35" spans="1:20">
      <c r="A35" s="438">
        <v>9</v>
      </c>
      <c r="B35" s="2" t="s">
        <v>108</v>
      </c>
      <c r="C35" s="197" t="s">
        <v>674</v>
      </c>
      <c r="D35" s="51">
        <v>899</v>
      </c>
      <c r="E35" s="49">
        <f t="shared" si="4"/>
        <v>80.91</v>
      </c>
      <c r="F35" s="68"/>
      <c r="G35" s="128"/>
      <c r="H35" s="55">
        <f t="shared" si="5"/>
        <v>8.5457271364317844</v>
      </c>
      <c r="I35" s="2" t="str">
        <f>B35</f>
        <v>huile d'olive</v>
      </c>
      <c r="J35" s="254">
        <f t="shared" si="7"/>
        <v>76.826086956521735</v>
      </c>
      <c r="R35" s="44"/>
      <c r="S35" s="44"/>
      <c r="T35" s="44"/>
    </row>
    <row r="36" spans="1:20">
      <c r="A36" s="438">
        <v>30</v>
      </c>
      <c r="B36" s="2" t="s">
        <v>105</v>
      </c>
      <c r="C36" s="184" t="s">
        <v>677</v>
      </c>
      <c r="D36" s="51">
        <v>391</v>
      </c>
      <c r="E36" s="49">
        <f t="shared" si="4"/>
        <v>117.30000000000001</v>
      </c>
      <c r="F36" s="68"/>
      <c r="G36" s="128"/>
      <c r="H36" s="55">
        <f t="shared" si="5"/>
        <v>28.485757121439281</v>
      </c>
      <c r="I36" s="2" t="str">
        <f t="shared" si="6"/>
        <v>Parmesan</v>
      </c>
      <c r="J36" s="254">
        <f t="shared" si="7"/>
        <v>111.3793103448276</v>
      </c>
      <c r="R36" s="44"/>
      <c r="S36" s="44"/>
      <c r="T36" s="44"/>
    </row>
    <row r="37" spans="1:20">
      <c r="A37" s="438">
        <v>25</v>
      </c>
      <c r="B37" s="2" t="s">
        <v>106</v>
      </c>
      <c r="C37" s="185" t="s">
        <v>676</v>
      </c>
      <c r="D37" s="51">
        <v>27</v>
      </c>
      <c r="E37" s="49">
        <f t="shared" si="4"/>
        <v>6.75</v>
      </c>
      <c r="F37" s="68"/>
      <c r="G37" s="128"/>
      <c r="H37" s="55">
        <f t="shared" si="5"/>
        <v>23.738130934532734</v>
      </c>
      <c r="I37" s="2" t="str">
        <f t="shared" si="6"/>
        <v>basilic frais</v>
      </c>
      <c r="J37" s="254">
        <f t="shared" si="7"/>
        <v>6.4092953523238378</v>
      </c>
      <c r="R37" s="44"/>
      <c r="S37" s="44"/>
      <c r="T37" s="44"/>
    </row>
    <row r="38" spans="1:20">
      <c r="A38" s="438">
        <v>12.5</v>
      </c>
      <c r="B38" s="2" t="s">
        <v>107</v>
      </c>
      <c r="C38" s="185" t="s">
        <v>676</v>
      </c>
      <c r="D38" s="51">
        <v>28</v>
      </c>
      <c r="E38" s="49">
        <f t="shared" si="4"/>
        <v>3.5000000000000004</v>
      </c>
      <c r="F38" s="68"/>
      <c r="G38" s="128"/>
      <c r="H38" s="55">
        <f t="shared" si="5"/>
        <v>11.869065467266367</v>
      </c>
      <c r="I38" s="2" t="str">
        <f t="shared" si="6"/>
        <v>persil frais</v>
      </c>
      <c r="J38" s="254">
        <f t="shared" si="7"/>
        <v>3.323338330834583</v>
      </c>
      <c r="R38" s="44"/>
      <c r="S38" s="44"/>
      <c r="T38" s="44"/>
    </row>
    <row r="39" spans="1:20">
      <c r="A39" s="438">
        <v>1</v>
      </c>
      <c r="B39" s="2" t="s">
        <v>109</v>
      </c>
      <c r="C39" s="197" t="s">
        <v>674</v>
      </c>
      <c r="D39" s="51">
        <v>0</v>
      </c>
      <c r="E39" s="49">
        <f t="shared" si="4"/>
        <v>0</v>
      </c>
      <c r="F39" s="68"/>
      <c r="G39" s="128"/>
      <c r="H39" s="55">
        <f t="shared" si="5"/>
        <v>1</v>
      </c>
      <c r="I39" s="2" t="str">
        <f t="shared" si="6"/>
        <v>sel</v>
      </c>
      <c r="J39" s="254">
        <f t="shared" si="7"/>
        <v>0</v>
      </c>
      <c r="R39" s="44"/>
      <c r="S39" s="44"/>
      <c r="T39" s="44"/>
    </row>
    <row r="40" spans="1:20">
      <c r="A40" s="438">
        <v>0.5</v>
      </c>
      <c r="B40" s="107" t="s">
        <v>116</v>
      </c>
      <c r="C40" s="183" t="s">
        <v>675</v>
      </c>
      <c r="D40" s="51">
        <v>222</v>
      </c>
      <c r="E40" s="49">
        <f t="shared" si="4"/>
        <v>1.1100000000000001</v>
      </c>
      <c r="F40" s="68"/>
      <c r="G40" s="128"/>
      <c r="H40" s="55">
        <f t="shared" ref="H40:H41" si="8">IF(E40=0,A40,A40/E40*J40)</f>
        <v>0.47476261869065467</v>
      </c>
      <c r="I40" s="2" t="str">
        <f t="shared" ref="I40:I41" si="9">B40</f>
        <v>poivre</v>
      </c>
      <c r="J40" s="254">
        <f t="shared" si="7"/>
        <v>1.0539730134932535</v>
      </c>
      <c r="R40" s="44"/>
      <c r="S40" s="44"/>
      <c r="T40" s="44"/>
    </row>
    <row r="41" spans="1:20">
      <c r="A41" s="438">
        <v>80</v>
      </c>
      <c r="B41" s="107" t="s">
        <v>110</v>
      </c>
      <c r="C41" s="185" t="s">
        <v>676</v>
      </c>
      <c r="D41" s="51">
        <v>68</v>
      </c>
      <c r="E41" s="49">
        <f t="shared" si="4"/>
        <v>54.400000000000006</v>
      </c>
      <c r="F41" s="68"/>
      <c r="G41" s="128"/>
      <c r="H41" s="55">
        <f t="shared" si="8"/>
        <v>75.962018990504745</v>
      </c>
      <c r="I41" s="2" t="str">
        <f t="shared" si="9"/>
        <v>salade de crudités</v>
      </c>
      <c r="J41" s="254">
        <f t="shared" si="7"/>
        <v>51.654172913543235</v>
      </c>
      <c r="R41" s="44"/>
      <c r="S41" s="44"/>
      <c r="T41" s="44"/>
    </row>
    <row r="42" spans="1:20">
      <c r="A42" s="438">
        <v>12</v>
      </c>
      <c r="B42" s="107" t="s">
        <v>111</v>
      </c>
      <c r="C42" s="197" t="s">
        <v>674</v>
      </c>
      <c r="D42" s="51">
        <v>472</v>
      </c>
      <c r="E42" s="49">
        <f t="shared" si="4"/>
        <v>56.64</v>
      </c>
      <c r="F42" s="68"/>
      <c r="G42" s="128"/>
      <c r="H42" s="55">
        <f t="shared" si="5"/>
        <v>11.394302848575711</v>
      </c>
      <c r="I42" s="107" t="str">
        <f t="shared" si="6"/>
        <v>sauce salade italienne</v>
      </c>
      <c r="J42" s="254">
        <f t="shared" si="7"/>
        <v>53.781109445277359</v>
      </c>
      <c r="K42" s="275"/>
      <c r="O42" s="412"/>
      <c r="P42"/>
      <c r="Q42"/>
    </row>
    <row r="43" spans="1:20">
      <c r="A43" s="66" t="s">
        <v>127</v>
      </c>
      <c r="B43" s="63"/>
      <c r="C43" s="202"/>
      <c r="D43" s="63"/>
      <c r="E43" s="64"/>
      <c r="F43" s="18"/>
      <c r="G43" s="43"/>
      <c r="H43" s="65"/>
      <c r="I43" s="63"/>
      <c r="J43" s="67"/>
      <c r="O43" s="412"/>
      <c r="Q43"/>
    </row>
    <row r="44" spans="1:20">
      <c r="A44" s="438">
        <v>150</v>
      </c>
      <c r="B44" s="2" t="s">
        <v>4</v>
      </c>
      <c r="C44" s="199" t="s">
        <v>675</v>
      </c>
      <c r="D44" s="51">
        <v>55</v>
      </c>
      <c r="E44" s="49">
        <f>D44/100*A44</f>
        <v>82.5</v>
      </c>
      <c r="F44" s="18"/>
      <c r="G44" s="43"/>
      <c r="H44" s="55">
        <f>IF(E44=0,A44,A44/E44*J44)</f>
        <v>142.4287856071964</v>
      </c>
      <c r="I44" s="56" t="str">
        <f t="shared" si="6"/>
        <v>pomme</v>
      </c>
      <c r="J44" s="49">
        <f t="shared" si="7"/>
        <v>78.335832083958024</v>
      </c>
      <c r="K44" s="275"/>
      <c r="O44" s="412"/>
      <c r="P44"/>
      <c r="Q44"/>
    </row>
    <row r="45" spans="1:20">
      <c r="A45" s="42"/>
      <c r="B45" s="131"/>
      <c r="C45" s="200"/>
      <c r="E45" s="130" t="s">
        <v>6</v>
      </c>
      <c r="F45" s="138">
        <f>SUM(E33:E44)</f>
        <v>522.59</v>
      </c>
      <c r="G45" s="128"/>
      <c r="H45" s="42"/>
      <c r="I45" s="131"/>
      <c r="J45" s="130" t="s">
        <v>6</v>
      </c>
      <c r="K45" s="336">
        <f>SUM(J33:J44)</f>
        <v>496.21239380309851</v>
      </c>
      <c r="O45" s="412"/>
      <c r="Q45"/>
    </row>
    <row r="46" spans="1:20" ht="6" customHeight="1">
      <c r="A46" s="17"/>
      <c r="B46" s="17"/>
      <c r="C46" s="188"/>
      <c r="D46" s="68"/>
      <c r="E46" s="17"/>
      <c r="F46" s="18"/>
      <c r="G46" s="43"/>
      <c r="H46" s="17"/>
      <c r="I46" s="17"/>
      <c r="J46" s="17"/>
      <c r="O46" s="412"/>
      <c r="P46"/>
      <c r="Q46"/>
    </row>
    <row r="47" spans="1:20">
      <c r="A47" s="216" t="s">
        <v>228</v>
      </c>
      <c r="B47" s="16"/>
      <c r="C47" s="209"/>
      <c r="D47" s="17"/>
      <c r="E47" s="17"/>
      <c r="F47" s="18"/>
      <c r="G47" s="43"/>
      <c r="H47" s="17"/>
      <c r="I47" s="17"/>
      <c r="J47" s="17"/>
      <c r="P47"/>
      <c r="Q47"/>
    </row>
    <row r="48" spans="1:20">
      <c r="A48" s="438">
        <v>50</v>
      </c>
      <c r="B48" s="2" t="s">
        <v>128</v>
      </c>
      <c r="C48" s="197" t="s">
        <v>674</v>
      </c>
      <c r="D48" s="51">
        <v>502</v>
      </c>
      <c r="E48" s="49">
        <f>D48/100*A48</f>
        <v>250.99999999999997</v>
      </c>
      <c r="G48" s="43"/>
      <c r="H48" s="55">
        <f>IF(E48=0,A48,A48/E48*J48)</f>
        <v>47.476261869065461</v>
      </c>
      <c r="I48" s="2" t="str">
        <f>B48</f>
        <v>cookie aux pépites chocolat</v>
      </c>
      <c r="J48" s="49">
        <f>E48*$M$18%</f>
        <v>238.3308345827086</v>
      </c>
    </row>
    <row r="49" spans="1:17">
      <c r="A49" s="42"/>
      <c r="B49" s="131"/>
      <c r="C49" s="200"/>
      <c r="E49" s="130" t="s">
        <v>6</v>
      </c>
      <c r="F49" s="137">
        <f>E48</f>
        <v>250.99999999999997</v>
      </c>
      <c r="G49" s="140"/>
      <c r="H49" s="42"/>
      <c r="I49" s="131"/>
      <c r="J49" s="130" t="s">
        <v>6</v>
      </c>
      <c r="K49" s="336">
        <f>J48</f>
        <v>238.3308345827086</v>
      </c>
      <c r="O49" s="412"/>
      <c r="Q49"/>
    </row>
    <row r="50" spans="1:17">
      <c r="A50" s="216" t="s">
        <v>226</v>
      </c>
      <c r="B50" s="16"/>
      <c r="C50" s="209"/>
      <c r="D50" s="17"/>
      <c r="E50" s="17"/>
      <c r="F50" s="18"/>
      <c r="G50" s="43"/>
      <c r="H50" s="17"/>
      <c r="I50" s="17"/>
      <c r="J50" s="17"/>
      <c r="P50"/>
      <c r="Q50"/>
    </row>
    <row r="51" spans="1:17">
      <c r="A51" s="256" t="s">
        <v>186</v>
      </c>
      <c r="B51" s="257"/>
      <c r="C51" s="257"/>
      <c r="D51" s="257"/>
      <c r="E51" s="257"/>
      <c r="F51" s="257"/>
      <c r="G51" s="257"/>
      <c r="H51" s="257"/>
      <c r="I51" s="257"/>
      <c r="J51" s="258"/>
      <c r="O51" s="412"/>
      <c r="Q51"/>
    </row>
    <row r="52" spans="1:17">
      <c r="A52" s="438">
        <v>200</v>
      </c>
      <c r="B52" s="107" t="s">
        <v>113</v>
      </c>
      <c r="C52" s="196" t="s">
        <v>673</v>
      </c>
      <c r="D52" s="51">
        <v>193</v>
      </c>
      <c r="E52" s="49">
        <f t="shared" ref="E52:E61" si="10">D52/100*A52</f>
        <v>386</v>
      </c>
      <c r="F52" s="68"/>
      <c r="G52" s="128"/>
      <c r="H52" s="55">
        <f t="shared" ref="H52:H61" si="11">IF(E52=0,A52,A52/E52*J52)</f>
        <v>189.90504747626184</v>
      </c>
      <c r="I52" s="2" t="str">
        <f t="shared" ref="I52:I59" si="12">B52</f>
        <v>côte de veau</v>
      </c>
      <c r="J52" s="49">
        <f t="shared" ref="J52:J70" si="13">E52*$M$18%</f>
        <v>366.51674162918539</v>
      </c>
      <c r="O52" s="412"/>
      <c r="P52"/>
      <c r="Q52"/>
    </row>
    <row r="53" spans="1:17">
      <c r="A53" s="438">
        <v>62.5</v>
      </c>
      <c r="B53" s="107" t="s">
        <v>120</v>
      </c>
      <c r="C53" s="196" t="s">
        <v>673</v>
      </c>
      <c r="D53" s="51">
        <v>357</v>
      </c>
      <c r="E53" s="49">
        <f t="shared" si="10"/>
        <v>223.125</v>
      </c>
      <c r="F53" s="68"/>
      <c r="G53" s="128"/>
      <c r="H53" s="55">
        <f t="shared" si="11"/>
        <v>59.345327336331835</v>
      </c>
      <c r="I53" s="2" t="str">
        <f t="shared" si="12"/>
        <v>riz basmati (sec)</v>
      </c>
      <c r="J53" s="49">
        <f t="shared" si="13"/>
        <v>211.86281859070465</v>
      </c>
      <c r="O53" s="412"/>
      <c r="P53"/>
      <c r="Q53"/>
    </row>
    <row r="54" spans="1:17">
      <c r="A54" s="438">
        <v>200</v>
      </c>
      <c r="B54" s="107" t="s">
        <v>114</v>
      </c>
      <c r="C54" s="185" t="s">
        <v>676</v>
      </c>
      <c r="D54" s="51">
        <v>17</v>
      </c>
      <c r="E54" s="49">
        <f t="shared" si="10"/>
        <v>34</v>
      </c>
      <c r="F54" s="68"/>
      <c r="G54" s="128"/>
      <c r="H54" s="55">
        <f t="shared" si="11"/>
        <v>189.9050474762619</v>
      </c>
      <c r="I54" s="2" t="str">
        <f t="shared" si="12"/>
        <v>épinards frais</v>
      </c>
      <c r="J54" s="49">
        <f t="shared" si="13"/>
        <v>32.28385807096452</v>
      </c>
      <c r="O54" s="412"/>
      <c r="P54"/>
      <c r="Q54"/>
    </row>
    <row r="55" spans="1:17">
      <c r="A55" s="438">
        <v>5</v>
      </c>
      <c r="B55" s="107" t="s">
        <v>0</v>
      </c>
      <c r="C55" s="197" t="s">
        <v>674</v>
      </c>
      <c r="D55" s="51">
        <v>747</v>
      </c>
      <c r="E55" s="49">
        <f t="shared" si="10"/>
        <v>37.35</v>
      </c>
      <c r="F55" s="68"/>
      <c r="G55" s="128"/>
      <c r="H55" s="55">
        <f t="shared" si="11"/>
        <v>4.7476261869065475</v>
      </c>
      <c r="I55" s="2" t="str">
        <f t="shared" si="12"/>
        <v>beurre</v>
      </c>
      <c r="J55" s="49">
        <f t="shared" si="13"/>
        <v>35.464767616191907</v>
      </c>
      <c r="O55" s="412"/>
      <c r="P55"/>
      <c r="Q55"/>
    </row>
    <row r="56" spans="1:17">
      <c r="A56" s="438">
        <v>2.5000000000000001E-2</v>
      </c>
      <c r="B56" s="107" t="s">
        <v>115</v>
      </c>
      <c r="C56" s="184" t="s">
        <v>677</v>
      </c>
      <c r="D56" s="51">
        <v>352</v>
      </c>
      <c r="E56" s="49">
        <f t="shared" si="10"/>
        <v>8.8000000000000009E-2</v>
      </c>
      <c r="F56" s="68"/>
      <c r="G56" s="128"/>
      <c r="H56" s="55">
        <f t="shared" si="11"/>
        <v>2.3738130934532732E-2</v>
      </c>
      <c r="I56" s="2" t="str">
        <f t="shared" si="12"/>
        <v>safran</v>
      </c>
      <c r="J56" s="49">
        <f t="shared" si="13"/>
        <v>8.3558220889555224E-2</v>
      </c>
      <c r="O56" s="412"/>
      <c r="P56"/>
      <c r="Q56"/>
    </row>
    <row r="57" spans="1:17">
      <c r="A57" s="438">
        <v>125</v>
      </c>
      <c r="B57" s="107" t="s">
        <v>117</v>
      </c>
      <c r="C57" s="185" t="s">
        <v>676</v>
      </c>
      <c r="D57" s="51">
        <v>5</v>
      </c>
      <c r="E57" s="49">
        <f t="shared" si="10"/>
        <v>6.25</v>
      </c>
      <c r="F57" s="68"/>
      <c r="G57" s="128"/>
      <c r="H57" s="55">
        <f t="shared" si="11"/>
        <v>118.69065467266367</v>
      </c>
      <c r="I57" s="2" t="str">
        <f t="shared" si="12"/>
        <v>bouillon de légumes</v>
      </c>
      <c r="J57" s="49">
        <f t="shared" si="13"/>
        <v>5.9345327336331835</v>
      </c>
      <c r="O57" s="412"/>
      <c r="P57"/>
      <c r="Q57"/>
    </row>
    <row r="58" spans="1:17">
      <c r="A58" s="438">
        <v>3</v>
      </c>
      <c r="B58" s="107" t="s">
        <v>118</v>
      </c>
      <c r="C58" s="196" t="s">
        <v>673</v>
      </c>
      <c r="D58" s="51">
        <v>338</v>
      </c>
      <c r="E58" s="49">
        <f t="shared" si="10"/>
        <v>10.14</v>
      </c>
      <c r="F58" s="68"/>
      <c r="G58" s="128"/>
      <c r="H58" s="55">
        <f t="shared" si="11"/>
        <v>2.8485757121439277</v>
      </c>
      <c r="I58" s="2" t="str">
        <f t="shared" si="12"/>
        <v>farine</v>
      </c>
      <c r="J58" s="49">
        <f t="shared" si="13"/>
        <v>9.6281859070464773</v>
      </c>
      <c r="L58" s="406"/>
      <c r="O58" s="412"/>
      <c r="P58"/>
      <c r="Q58"/>
    </row>
    <row r="59" spans="1:17">
      <c r="A59" s="438">
        <v>2</v>
      </c>
      <c r="B59" s="107" t="s">
        <v>119</v>
      </c>
      <c r="C59" s="183" t="s">
        <v>675</v>
      </c>
      <c r="D59" s="51">
        <v>284</v>
      </c>
      <c r="E59" s="49">
        <f t="shared" si="10"/>
        <v>5.68</v>
      </c>
      <c r="F59" s="68"/>
      <c r="G59" s="128"/>
      <c r="H59" s="55">
        <f t="shared" si="11"/>
        <v>1.8990504747626189</v>
      </c>
      <c r="I59" s="2" t="str">
        <f t="shared" si="12"/>
        <v>curry</v>
      </c>
      <c r="J59" s="49">
        <f t="shared" si="13"/>
        <v>5.393303348325837</v>
      </c>
      <c r="K59" s="275"/>
      <c r="O59" s="412"/>
      <c r="P59"/>
      <c r="Q59"/>
    </row>
    <row r="60" spans="1:17">
      <c r="A60" s="438">
        <v>1</v>
      </c>
      <c r="B60" s="107" t="s">
        <v>109</v>
      </c>
      <c r="C60" s="197" t="s">
        <v>674</v>
      </c>
      <c r="D60" s="51">
        <v>0</v>
      </c>
      <c r="E60" s="49">
        <f t="shared" si="10"/>
        <v>0</v>
      </c>
      <c r="F60" s="68"/>
      <c r="G60" s="128"/>
      <c r="H60" s="55">
        <f t="shared" si="11"/>
        <v>1</v>
      </c>
      <c r="I60" s="2" t="str">
        <f>B60</f>
        <v>sel</v>
      </c>
      <c r="J60" s="49">
        <f t="shared" si="13"/>
        <v>0</v>
      </c>
      <c r="O60" s="412"/>
      <c r="P60"/>
      <c r="Q60"/>
    </row>
    <row r="61" spans="1:17">
      <c r="A61" s="438">
        <v>0.5</v>
      </c>
      <c r="B61" s="107" t="s">
        <v>116</v>
      </c>
      <c r="C61" s="183" t="s">
        <v>675</v>
      </c>
      <c r="D61" s="51">
        <v>222</v>
      </c>
      <c r="E61" s="49">
        <f t="shared" si="10"/>
        <v>1.1100000000000001</v>
      </c>
      <c r="F61" s="68"/>
      <c r="G61" s="128"/>
      <c r="H61" s="55">
        <f t="shared" si="11"/>
        <v>0.47476261869065467</v>
      </c>
      <c r="I61" s="2" t="str">
        <f>B61</f>
        <v>poivre</v>
      </c>
      <c r="J61" s="49">
        <f t="shared" si="13"/>
        <v>1.0539730134932535</v>
      </c>
      <c r="O61" s="412"/>
      <c r="P61"/>
      <c r="Q61"/>
    </row>
    <row r="62" spans="1:17">
      <c r="A62" s="42"/>
      <c r="B62" s="131"/>
      <c r="C62" s="201"/>
      <c r="E62" s="130" t="s">
        <v>6</v>
      </c>
      <c r="F62" s="138">
        <f>SUM(E52:E59)</f>
        <v>702.63299999999992</v>
      </c>
      <c r="G62" s="140"/>
      <c r="H62" s="42"/>
      <c r="I62" s="131"/>
      <c r="J62" s="130" t="s">
        <v>6</v>
      </c>
      <c r="K62" s="336">
        <f>SUM(J52:J59)</f>
        <v>667.16776611694149</v>
      </c>
      <c r="O62" s="412"/>
      <c r="Q62"/>
    </row>
    <row r="63" spans="1:17">
      <c r="A63" s="256" t="s">
        <v>121</v>
      </c>
      <c r="B63" s="257"/>
      <c r="C63" s="257"/>
      <c r="D63" s="257"/>
      <c r="E63" s="257"/>
      <c r="F63" s="259"/>
      <c r="G63" s="260"/>
      <c r="H63" s="257"/>
      <c r="I63" s="257"/>
      <c r="J63" s="258"/>
      <c r="O63" s="412"/>
      <c r="Q63"/>
    </row>
    <row r="64" spans="1:17">
      <c r="A64" s="438">
        <v>84</v>
      </c>
      <c r="B64" s="2" t="s">
        <v>122</v>
      </c>
      <c r="C64" s="185" t="s">
        <v>676</v>
      </c>
      <c r="D64" s="51">
        <v>33</v>
      </c>
      <c r="E64" s="49">
        <f>D64/100*A64</f>
        <v>27.720000000000002</v>
      </c>
      <c r="F64" s="68"/>
      <c r="G64" s="128"/>
      <c r="H64" s="55">
        <f>IF(E64=0,A64,A64/E64*J64)</f>
        <v>79.760119940029981</v>
      </c>
      <c r="I64" s="2" t="str">
        <f t="shared" ref="I64:I68" si="14">B64</f>
        <v>lait écrémé UHT</v>
      </c>
      <c r="J64" s="49">
        <f t="shared" si="13"/>
        <v>26.320839580209896</v>
      </c>
      <c r="K64" s="241"/>
      <c r="O64" s="412"/>
      <c r="P64"/>
      <c r="Q64"/>
    </row>
    <row r="65" spans="1:17">
      <c r="A65" s="438">
        <v>8.5</v>
      </c>
      <c r="B65" s="2" t="s">
        <v>125</v>
      </c>
      <c r="C65" s="197" t="s">
        <v>674</v>
      </c>
      <c r="D65" s="51">
        <v>594</v>
      </c>
      <c r="E65" s="49">
        <f>D65/100*A65</f>
        <v>50.49</v>
      </c>
      <c r="F65" s="68"/>
      <c r="G65" s="128"/>
      <c r="H65" s="55">
        <f>IF(E65=0,A65,A65/E65*J65)</f>
        <v>8.07096451774113</v>
      </c>
      <c r="I65" s="2" t="str">
        <f t="shared" si="14"/>
        <v>noix de coco râpée</v>
      </c>
      <c r="J65" s="49">
        <f t="shared" si="13"/>
        <v>47.941529235382312</v>
      </c>
      <c r="K65" s="241"/>
      <c r="O65" s="412"/>
      <c r="P65"/>
      <c r="Q65"/>
    </row>
    <row r="66" spans="1:17">
      <c r="A66" s="438">
        <v>30</v>
      </c>
      <c r="B66" s="2" t="s">
        <v>126</v>
      </c>
      <c r="C66" s="185" t="s">
        <v>676</v>
      </c>
      <c r="D66" s="51">
        <v>146</v>
      </c>
      <c r="E66" s="49">
        <f>D66/100*A66</f>
        <v>43.8</v>
      </c>
      <c r="F66" s="68"/>
      <c r="G66" s="128"/>
      <c r="H66" s="55">
        <f>IF(E66=0,A66,A66/E66*J66)</f>
        <v>28.485757121439285</v>
      </c>
      <c r="I66" s="2" t="str">
        <f t="shared" si="14"/>
        <v>œuf</v>
      </c>
      <c r="J66" s="49">
        <f t="shared" si="13"/>
        <v>41.589205397301349</v>
      </c>
      <c r="K66" s="241"/>
      <c r="O66" s="412"/>
      <c r="P66"/>
      <c r="Q66"/>
    </row>
    <row r="67" spans="1:17">
      <c r="A67" s="438">
        <v>1</v>
      </c>
      <c r="B67" s="2" t="s">
        <v>124</v>
      </c>
      <c r="C67" s="196" t="s">
        <v>673</v>
      </c>
      <c r="D67" s="51">
        <v>58</v>
      </c>
      <c r="E67" s="49">
        <f>D67/100*A67</f>
        <v>0.57999999999999996</v>
      </c>
      <c r="F67" s="68"/>
      <c r="G67" s="128"/>
      <c r="H67" s="55">
        <f>IF(E67=0,A67,A67/E67*J67)</f>
        <v>0.94952523738130945</v>
      </c>
      <c r="I67" s="2" t="str">
        <f>B67</f>
        <v>gousse vanille</v>
      </c>
      <c r="J67" s="49">
        <f t="shared" si="13"/>
        <v>0.55072463768115942</v>
      </c>
      <c r="K67" s="241"/>
      <c r="O67" s="412"/>
      <c r="P67"/>
      <c r="Q67"/>
    </row>
    <row r="68" spans="1:17">
      <c r="A68" s="438">
        <v>15</v>
      </c>
      <c r="B68" s="2" t="s">
        <v>2</v>
      </c>
      <c r="C68" s="197" t="s">
        <v>674</v>
      </c>
      <c r="D68" s="51">
        <v>400</v>
      </c>
      <c r="E68" s="49">
        <f>D68/100*A68</f>
        <v>60</v>
      </c>
      <c r="F68" s="68"/>
      <c r="G68" s="128"/>
      <c r="H68" s="55">
        <f>IF(E68=0,A68,A68/E68*J68)</f>
        <v>14.242878560719641</v>
      </c>
      <c r="I68" s="2" t="str">
        <f t="shared" si="14"/>
        <v>sucre</v>
      </c>
      <c r="J68" s="49">
        <f t="shared" si="13"/>
        <v>56.971514242878563</v>
      </c>
      <c r="K68" s="241"/>
      <c r="O68" s="412"/>
      <c r="P68"/>
      <c r="Q68"/>
    </row>
    <row r="69" spans="1:17">
      <c r="A69" s="42"/>
      <c r="B69" s="131"/>
      <c r="C69" s="201"/>
      <c r="E69" s="143" t="s">
        <v>6</v>
      </c>
      <c r="F69" s="139">
        <f>SUM(E64:E68)</f>
        <v>182.59</v>
      </c>
      <c r="G69" s="25"/>
      <c r="H69" s="42"/>
      <c r="I69" s="131"/>
      <c r="J69" s="143" t="s">
        <v>6</v>
      </c>
      <c r="K69" s="336">
        <f>SUM(J64:J68)</f>
        <v>173.37381309345326</v>
      </c>
      <c r="O69" s="412"/>
      <c r="Q69"/>
    </row>
    <row r="70" spans="1:17">
      <c r="A70" s="54">
        <f>IF(D5="non",0,IF(D5="1 verre",125,250))</f>
        <v>0</v>
      </c>
      <c r="B70" s="2" t="str">
        <f>IF(A70=0,"","vin")</f>
        <v/>
      </c>
      <c r="C70" s="203"/>
      <c r="D70" s="51">
        <v>80</v>
      </c>
      <c r="E70" s="49">
        <f>D70/100*A70</f>
        <v>0</v>
      </c>
      <c r="G70" s="142"/>
      <c r="H70" s="55">
        <f>IF(E70=0,A70,A70/E70*J70)</f>
        <v>0</v>
      </c>
      <c r="I70" s="2" t="str">
        <f>B70</f>
        <v/>
      </c>
      <c r="J70" s="49">
        <f t="shared" si="13"/>
        <v>0</v>
      </c>
      <c r="K70" s="335"/>
      <c r="O70" s="412"/>
      <c r="P70"/>
      <c r="Q70"/>
    </row>
    <row r="71" spans="1:17" ht="6" customHeight="1">
      <c r="A71" s="17"/>
      <c r="B71" s="17"/>
      <c r="C71" s="188"/>
      <c r="D71" s="68"/>
      <c r="E71" s="17"/>
      <c r="F71" s="18"/>
      <c r="G71" s="204"/>
      <c r="H71" s="17"/>
      <c r="I71" s="17"/>
      <c r="J71" s="17"/>
      <c r="K71" s="335"/>
      <c r="P71"/>
      <c r="Q71"/>
    </row>
    <row r="72" spans="1:17">
      <c r="A72" s="17"/>
      <c r="B72" s="17"/>
      <c r="C72" s="188"/>
      <c r="D72" s="69" t="s">
        <v>129</v>
      </c>
      <c r="F72" s="146">
        <f>SUM(F22:F69)</f>
        <v>2001.048</v>
      </c>
      <c r="G72" s="204"/>
      <c r="H72" s="17"/>
      <c r="I72" s="69" t="s">
        <v>129</v>
      </c>
      <c r="K72" s="336">
        <f>SUM(K22:K70)</f>
        <v>1900.0455772113942</v>
      </c>
      <c r="P72"/>
      <c r="Q72"/>
    </row>
    <row r="73" spans="1:17">
      <c r="A73" s="17"/>
      <c r="B73" s="17"/>
      <c r="C73" s="188"/>
      <c r="D73" s="18" t="s">
        <v>130</v>
      </c>
      <c r="E73" s="25"/>
      <c r="F73" s="144">
        <f>F72+E70</f>
        <v>2001.048</v>
      </c>
      <c r="G73" s="43"/>
      <c r="H73" s="42"/>
      <c r="I73" s="18" t="s">
        <v>130</v>
      </c>
      <c r="J73" s="25"/>
      <c r="K73" s="336">
        <f>K72+J70</f>
        <v>1900.0455772113942</v>
      </c>
      <c r="P73"/>
      <c r="Q73"/>
    </row>
    <row r="74" spans="1:17">
      <c r="A74" s="17"/>
      <c r="B74" s="16"/>
      <c r="C74" s="188"/>
      <c r="D74" s="17"/>
      <c r="E74" s="17"/>
      <c r="F74" s="205"/>
      <c r="G74" s="43"/>
      <c r="H74" s="17"/>
      <c r="I74" s="17"/>
      <c r="J74" s="17"/>
      <c r="P74"/>
      <c r="Q74"/>
    </row>
    <row r="75" spans="1:17" ht="19">
      <c r="A75" s="118" t="s">
        <v>817</v>
      </c>
      <c r="B75" s="491" t="s">
        <v>99</v>
      </c>
      <c r="C75" s="491"/>
      <c r="D75" s="17"/>
      <c r="E75" s="17"/>
      <c r="F75" s="18"/>
      <c r="G75" s="18"/>
      <c r="H75" s="17"/>
      <c r="I75" s="17"/>
      <c r="J75" s="17"/>
      <c r="P75"/>
      <c r="Q75"/>
    </row>
    <row r="76" spans="1:17" ht="409" customHeight="1">
      <c r="A76" s="17"/>
      <c r="B76" s="16"/>
      <c r="C76" s="188"/>
      <c r="D76" s="17"/>
      <c r="E76" s="17"/>
      <c r="F76" s="18"/>
      <c r="G76" s="18"/>
      <c r="H76" s="17"/>
      <c r="I76" s="17"/>
      <c r="J76" s="17"/>
      <c r="P76"/>
      <c r="Q76"/>
    </row>
    <row r="77" spans="1:17">
      <c r="A77" s="17"/>
      <c r="B77" s="16"/>
      <c r="C77" s="188"/>
      <c r="D77" s="17"/>
      <c r="E77" s="17"/>
      <c r="F77" s="18"/>
      <c r="G77" s="18"/>
      <c r="H77" s="17"/>
      <c r="I77" s="17"/>
      <c r="J77" s="17"/>
      <c r="P77"/>
      <c r="Q77"/>
    </row>
    <row r="78" spans="1:17">
      <c r="A78" s="17"/>
      <c r="B78" s="16"/>
      <c r="C78" s="188"/>
      <c r="D78" s="17"/>
      <c r="E78" s="17"/>
      <c r="F78" s="18"/>
      <c r="G78" s="18"/>
      <c r="H78" s="17"/>
      <c r="I78" s="17"/>
      <c r="J78" s="17"/>
      <c r="P78"/>
      <c r="Q78"/>
    </row>
    <row r="79" spans="1:17">
      <c r="F79" s="18"/>
      <c r="G79" s="18"/>
    </row>
    <row r="80" spans="1:17">
      <c r="F80" s="206"/>
    </row>
    <row r="81" spans="11:15" customFormat="1">
      <c r="K81" s="235"/>
      <c r="L81" s="17"/>
      <c r="M81" s="407"/>
      <c r="N81" s="407"/>
      <c r="O81" s="407"/>
    </row>
    <row r="82" spans="11:15" customFormat="1">
      <c r="K82" s="235"/>
      <c r="L82" s="17"/>
      <c r="M82" s="407"/>
      <c r="N82" s="407"/>
      <c r="O82" s="407"/>
    </row>
    <row r="83" spans="11:15" customFormat="1">
      <c r="K83" s="235"/>
      <c r="L83" s="17"/>
      <c r="M83" s="407"/>
      <c r="N83" s="407"/>
      <c r="O83" s="407"/>
    </row>
    <row r="84" spans="11:15" customFormat="1">
      <c r="K84" s="235"/>
      <c r="L84" s="17"/>
      <c r="M84" s="407"/>
      <c r="N84" s="407"/>
      <c r="O84" s="407"/>
    </row>
    <row r="85" spans="11:15" customFormat="1">
      <c r="K85" s="235"/>
      <c r="L85" s="17"/>
      <c r="M85" s="407"/>
      <c r="N85" s="407"/>
      <c r="O85" s="407"/>
    </row>
    <row r="86" spans="11:15" customFormat="1">
      <c r="K86" s="235"/>
      <c r="L86" s="17"/>
      <c r="M86" s="407"/>
      <c r="N86" s="407"/>
      <c r="O86" s="407"/>
    </row>
    <row r="87" spans="11:15" customFormat="1">
      <c r="K87" s="235"/>
      <c r="L87" s="17"/>
      <c r="M87" s="407"/>
      <c r="N87" s="407"/>
      <c r="O87" s="407"/>
    </row>
    <row r="88" spans="11:15" customFormat="1">
      <c r="K88" s="235"/>
      <c r="L88" s="17"/>
      <c r="M88" s="407"/>
      <c r="N88" s="407"/>
      <c r="O88" s="407"/>
    </row>
    <row r="89" spans="11:15" customFormat="1">
      <c r="K89" s="235"/>
      <c r="L89" s="17"/>
      <c r="M89" s="407"/>
      <c r="N89" s="407"/>
      <c r="O89" s="407"/>
    </row>
    <row r="90" spans="11:15" customFormat="1">
      <c r="K90" s="235"/>
      <c r="L90" s="17"/>
      <c r="M90" s="407"/>
      <c r="N90" s="407"/>
      <c r="O90" s="407"/>
    </row>
    <row r="91" spans="11:15" customFormat="1">
      <c r="K91" s="235"/>
      <c r="L91" s="17"/>
      <c r="M91" s="407"/>
      <c r="N91" s="407"/>
      <c r="O91" s="407"/>
    </row>
    <row r="92" spans="11:15" customFormat="1">
      <c r="K92" s="235"/>
      <c r="L92" s="17"/>
      <c r="M92" s="407"/>
      <c r="N92" s="407"/>
      <c r="O92" s="407"/>
    </row>
    <row r="93" spans="11:15" customFormat="1">
      <c r="K93" s="235"/>
      <c r="L93" s="17"/>
      <c r="M93" s="407"/>
      <c r="N93" s="407"/>
      <c r="O93" s="407"/>
    </row>
    <row r="94" spans="11:15" customFormat="1">
      <c r="K94" s="235"/>
      <c r="L94" s="17"/>
      <c r="M94" s="407"/>
      <c r="N94" s="407"/>
      <c r="O94" s="407"/>
    </row>
    <row r="95" spans="11:15" customFormat="1">
      <c r="K95" s="235"/>
      <c r="L95" s="17"/>
      <c r="M95" s="407"/>
      <c r="N95" s="407"/>
      <c r="O95" s="407"/>
    </row>
    <row r="96" spans="11:15" customFormat="1">
      <c r="K96" s="235"/>
      <c r="L96" s="17"/>
      <c r="M96" s="407"/>
      <c r="N96" s="407"/>
      <c r="O96" s="407"/>
    </row>
    <row r="97" spans="11:15" customFormat="1">
      <c r="K97" s="235"/>
      <c r="L97" s="17"/>
      <c r="M97" s="407"/>
      <c r="N97" s="407"/>
      <c r="O97" s="407"/>
    </row>
    <row r="98" spans="11:15" customFormat="1">
      <c r="K98" s="235"/>
      <c r="L98" s="17"/>
      <c r="M98" s="407"/>
      <c r="N98" s="407"/>
      <c r="O98" s="407"/>
    </row>
    <row r="99" spans="11:15" customFormat="1">
      <c r="K99" s="235"/>
      <c r="L99" s="17"/>
      <c r="M99" s="407"/>
      <c r="N99" s="407"/>
      <c r="O99" s="407"/>
    </row>
  </sheetData>
  <sheetProtection password="A5F4" sheet="1" objects="1" scenarios="1" selectLockedCells="1"/>
  <mergeCells count="8">
    <mergeCell ref="B75:C75"/>
    <mergeCell ref="B15:J15"/>
    <mergeCell ref="D8:J8"/>
    <mergeCell ref="D18:E18"/>
    <mergeCell ref="B18:B19"/>
    <mergeCell ref="A18:A19"/>
    <mergeCell ref="H18:H19"/>
    <mergeCell ref="I18:I19"/>
  </mergeCells>
  <dataValidations xWindow="810" yWindow="291" count="2">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InputMessage="1" showErrorMessage="1" promptTitle="Modification des quantités" prompt="Vous pouvez diminuer ou augmenter la quantité,._x000d_Si vous désirez supprimer l'aliment, inscrivez 0 (zéro)." sqref="A44 C66 C64 A22:A27 A33:A40 A52:A61 A64:A67"/>
  </dataValidations>
  <hyperlinks>
    <hyperlink ref="B75" location="sommaire!A1" display="RETOUR AU SOMMAIRE"/>
    <hyperlink ref="C75" location="sommaire!A1" display="sommaire!A1"/>
  </hyperlinks>
  <pageMargins left="0.75" right="0.75" top="1" bottom="1" header="0.5" footer="0.5"/>
  <pageSetup paperSize="9" orientation="portrait" horizontalDpi="4294967292" verticalDpi="4294967292"/>
  <ignoredErrors>
    <ignoredError sqref="F45 K45 K72" emptyCellReference="1"/>
  </ignoredErrors>
  <extLst>
    <ext xmlns:x14="http://schemas.microsoft.com/office/spreadsheetml/2009/9/main" uri="{CCE6A557-97BC-4b89-ADB6-D9C93CAAB3DF}">
      <x14:dataValidations xmlns:xm="http://schemas.microsoft.com/office/excel/2006/main" xWindow="810" yWindow="291" count="2">
        <x14:dataValidation type="list" allowBlank="1" showInputMessage="1" showErrorMessage="1">
          <x14:formula1>
            <xm:f>d!$A$21:$A$23</xm:f>
          </x14:formula1>
          <xm:sqref>D5</xm:sqref>
        </x14:dataValidation>
        <x14:dataValidation type="list" allowBlank="1" showInputMessage="1" showErrorMessage="1" promptTitle="Objectif du jour" prompt="Entrez ici l'apport calorique souhaité._x000d_Arrondissez à la centaine inférieure ou supérieure l'estimation obtenue avec le calculateur du feuillet &quot;bilan&quot;._x000d_Cet objectif est ensuite figé pour la totalité de l'exercice (28 jours).">
          <x14:formula1>
            <xm:f>d!$A$27:$A$37</xm:f>
          </x14:formula1>
          <xm:sqref>D7</xm:sqref>
        </x14:dataValidation>
      </x14:dataValidation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8"/>
  <sheetViews>
    <sheetView workbookViewId="0">
      <selection activeCell="D5" sqref="D5"/>
    </sheetView>
  </sheetViews>
  <sheetFormatPr baseColWidth="10" defaultRowHeight="15" x14ac:dyDescent="0"/>
  <cols>
    <col min="1" max="1" width="6.33203125" customWidth="1"/>
    <col min="2" max="2" width="24.5" style="5" customWidth="1"/>
    <col min="3" max="3" width="3.1640625" style="215" customWidth="1"/>
    <col min="4" max="4" width="8.1640625" customWidth="1"/>
    <col min="5" max="5" width="7.6640625" customWidth="1"/>
    <col min="6" max="6" width="6.5" style="136" customWidth="1"/>
    <col min="7" max="7" width="1.83203125" style="136" customWidth="1"/>
    <col min="8" max="8" width="6.6640625" customWidth="1"/>
    <col min="9" max="9" width="24.5" customWidth="1"/>
    <col min="10" max="10" width="8.33203125" customWidth="1"/>
    <col min="11" max="11" width="6.6640625" style="228" customWidth="1"/>
    <col min="12" max="12" width="174" style="124" customWidth="1"/>
    <col min="13" max="13" width="9.6640625" style="407" customWidth="1"/>
    <col min="14" max="14" width="3.33203125" style="44" customWidth="1"/>
    <col min="15" max="17" width="10.83203125" style="44"/>
  </cols>
  <sheetData>
    <row r="1" spans="1:17" ht="19">
      <c r="A1" s="207" t="s">
        <v>688</v>
      </c>
      <c r="B1" s="120"/>
      <c r="C1" s="208"/>
      <c r="D1" s="121"/>
      <c r="E1" s="121"/>
      <c r="F1" s="122"/>
      <c r="G1" s="122"/>
      <c r="H1" s="122"/>
      <c r="I1" s="123" t="s">
        <v>101</v>
      </c>
      <c r="J1" s="199" t="s">
        <v>675</v>
      </c>
      <c r="L1" s="154"/>
      <c r="N1"/>
      <c r="O1"/>
      <c r="P1"/>
      <c r="Q1"/>
    </row>
    <row r="2" spans="1:17">
      <c r="A2" s="17"/>
      <c r="B2" s="16" t="s">
        <v>12</v>
      </c>
      <c r="C2" s="209"/>
      <c r="D2" s="17"/>
      <c r="E2" s="17"/>
      <c r="F2" s="18"/>
      <c r="G2" s="18"/>
      <c r="H2" s="17"/>
      <c r="I2" s="17"/>
      <c r="J2" s="17"/>
      <c r="L2" s="154"/>
      <c r="N2"/>
      <c r="O2"/>
      <c r="P2"/>
      <c r="Q2"/>
    </row>
    <row r="3" spans="1:17">
      <c r="A3" s="16" t="s">
        <v>19</v>
      </c>
      <c r="B3" s="16"/>
      <c r="C3" s="209"/>
      <c r="D3" s="15">
        <f>ROUND(F81,0)</f>
        <v>1988</v>
      </c>
      <c r="E3" s="17" t="s">
        <v>9</v>
      </c>
      <c r="F3" s="18"/>
      <c r="G3" s="18"/>
      <c r="H3" s="42"/>
      <c r="I3" s="42"/>
      <c r="J3" s="42"/>
      <c r="L3" s="154"/>
      <c r="N3"/>
      <c r="O3"/>
      <c r="P3"/>
      <c r="Q3"/>
    </row>
    <row r="4" spans="1:17" ht="12" customHeight="1">
      <c r="A4" s="24" t="s">
        <v>26</v>
      </c>
      <c r="B4" s="16"/>
      <c r="C4" s="209"/>
      <c r="D4" s="19"/>
      <c r="E4" s="17"/>
      <c r="F4" s="18"/>
      <c r="G4" s="18"/>
      <c r="H4" s="17"/>
      <c r="I4" s="17"/>
      <c r="J4" s="17"/>
      <c r="L4" s="154"/>
      <c r="N4"/>
      <c r="O4"/>
      <c r="P4"/>
      <c r="Q4"/>
    </row>
    <row r="5" spans="1:17">
      <c r="A5" s="16" t="s">
        <v>29</v>
      </c>
      <c r="B5" s="16"/>
      <c r="C5" s="210" t="s">
        <v>25</v>
      </c>
      <c r="D5" s="436" t="s">
        <v>10</v>
      </c>
      <c r="E5" s="17" t="str">
        <f>IF(D5="non","",IF(D5=1,d!B22,d!B23))</f>
        <v/>
      </c>
      <c r="F5" s="18"/>
      <c r="G5" s="18"/>
      <c r="H5" s="17"/>
      <c r="I5" s="17"/>
      <c r="J5" s="17"/>
      <c r="L5" s="154"/>
      <c r="N5"/>
      <c r="O5"/>
      <c r="P5"/>
      <c r="Q5"/>
    </row>
    <row r="6" spans="1:17">
      <c r="A6" s="16" t="s">
        <v>18</v>
      </c>
      <c r="B6" s="16"/>
      <c r="C6" s="209"/>
      <c r="D6" s="437">
        <v>0</v>
      </c>
      <c r="E6" s="17" t="s">
        <v>9</v>
      </c>
      <c r="F6" s="413"/>
      <c r="G6" s="414" t="s">
        <v>100</v>
      </c>
      <c r="H6" s="415" t="s">
        <v>33</v>
      </c>
      <c r="I6" s="285"/>
      <c r="J6" s="17"/>
      <c r="L6" s="154"/>
      <c r="N6"/>
      <c r="O6"/>
      <c r="P6"/>
      <c r="Q6"/>
    </row>
    <row r="7" spans="1:17">
      <c r="A7" s="21" t="s">
        <v>35</v>
      </c>
      <c r="B7" s="16"/>
      <c r="C7" s="210"/>
      <c r="D7" s="74">
        <f>jour_1!D7</f>
        <v>1700</v>
      </c>
      <c r="E7" s="17" t="s">
        <v>9</v>
      </c>
      <c r="F7" s="416"/>
      <c r="G7" s="416"/>
      <c r="H7" s="417" t="s">
        <v>816</v>
      </c>
      <c r="I7" s="417"/>
      <c r="J7" s="17"/>
      <c r="L7" s="154"/>
      <c r="N7"/>
      <c r="O7"/>
      <c r="P7"/>
      <c r="Q7"/>
    </row>
    <row r="8" spans="1:17" ht="45" customHeight="1">
      <c r="A8" s="17"/>
      <c r="B8" s="16"/>
      <c r="C8" s="209"/>
      <c r="D8" s="480" t="str">
        <f>IF(D5="non","",d!A24)</f>
        <v/>
      </c>
      <c r="E8" s="480"/>
      <c r="F8" s="480"/>
      <c r="G8" s="480"/>
      <c r="H8" s="480"/>
      <c r="I8" s="480"/>
      <c r="J8" s="480"/>
      <c r="K8" s="334"/>
      <c r="L8" s="155"/>
      <c r="N8"/>
      <c r="O8"/>
      <c r="P8"/>
      <c r="Q8"/>
    </row>
    <row r="9" spans="1:17" ht="6" customHeight="1">
      <c r="A9" s="17"/>
      <c r="B9" s="16"/>
      <c r="C9" s="209"/>
      <c r="D9" s="18"/>
      <c r="E9" s="17"/>
      <c r="F9" s="18"/>
      <c r="G9" s="18"/>
      <c r="H9" s="17"/>
      <c r="I9" s="17"/>
      <c r="J9" s="17"/>
      <c r="L9" s="154"/>
      <c r="N9"/>
      <c r="O9"/>
      <c r="P9"/>
      <c r="Q9"/>
    </row>
    <row r="10" spans="1:17">
      <c r="A10" s="17"/>
      <c r="B10" s="26" t="s">
        <v>14</v>
      </c>
      <c r="C10" s="211"/>
      <c r="D10" s="28"/>
      <c r="E10" s="28"/>
      <c r="F10" s="133"/>
      <c r="G10" s="133"/>
      <c r="H10" s="28"/>
      <c r="I10" s="28"/>
      <c r="J10" s="29"/>
      <c r="L10" s="154"/>
      <c r="N10"/>
      <c r="O10"/>
      <c r="P10"/>
      <c r="Q10"/>
    </row>
    <row r="11" spans="1:17">
      <c r="A11" s="17"/>
      <c r="B11" s="30" t="s">
        <v>15</v>
      </c>
      <c r="C11" s="191"/>
      <c r="D11" s="15">
        <f>D7+D6</f>
        <v>1700</v>
      </c>
      <c r="E11" s="32" t="s">
        <v>7</v>
      </c>
      <c r="F11" s="31"/>
      <c r="G11" s="31"/>
      <c r="H11" s="33"/>
      <c r="I11" s="33"/>
      <c r="J11" s="34"/>
      <c r="L11" s="154"/>
      <c r="N11"/>
      <c r="O11"/>
      <c r="P11"/>
      <c r="Q11"/>
    </row>
    <row r="12" spans="1:17">
      <c r="A12" s="17"/>
      <c r="B12" s="30" t="s">
        <v>16</v>
      </c>
      <c r="C12" s="191"/>
      <c r="D12" s="23">
        <f>ABS(M13)</f>
        <v>288</v>
      </c>
      <c r="E12" s="32" t="s">
        <v>7</v>
      </c>
      <c r="F12" s="32" t="str">
        <f>IF(M13&gt;0,d!A44,d!A45)</f>
        <v>de moins que les menus Pan Metron du jour</v>
      </c>
      <c r="G12" s="31"/>
      <c r="H12" s="33"/>
      <c r="I12" s="33"/>
      <c r="J12" s="34"/>
      <c r="L12" s="154"/>
      <c r="M12" s="407" t="s">
        <v>132</v>
      </c>
      <c r="N12"/>
      <c r="O12"/>
      <c r="P12"/>
      <c r="Q12"/>
    </row>
    <row r="13" spans="1:17" ht="13" customHeight="1">
      <c r="A13" s="24"/>
      <c r="B13" s="35"/>
      <c r="C13" s="212"/>
      <c r="D13" s="37"/>
      <c r="E13" s="1"/>
      <c r="F13" s="38" t="str">
        <f>IF(D5="non","",d!A46)</f>
        <v/>
      </c>
      <c r="G13" s="39"/>
      <c r="H13" s="38"/>
      <c r="I13" s="38"/>
      <c r="J13" s="40"/>
      <c r="L13" s="154"/>
      <c r="M13" s="408">
        <f>D3+E79-D11</f>
        <v>288</v>
      </c>
      <c r="N13"/>
      <c r="O13"/>
      <c r="P13"/>
      <c r="Q13"/>
    </row>
    <row r="14" spans="1:17" ht="8" customHeight="1">
      <c r="A14" s="24"/>
      <c r="B14" s="41"/>
      <c r="C14" s="191"/>
      <c r="D14" s="19"/>
      <c r="E14" s="42"/>
      <c r="F14" s="43"/>
      <c r="G14" s="43"/>
      <c r="H14" s="42"/>
      <c r="I14" s="42"/>
      <c r="J14" s="42"/>
      <c r="L14" s="154"/>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156"/>
      <c r="M15" s="409"/>
      <c r="N15"/>
      <c r="O15"/>
      <c r="P15"/>
      <c r="Q15"/>
    </row>
    <row r="16" spans="1:17" ht="12" customHeight="1">
      <c r="A16" s="17"/>
      <c r="B16" s="22"/>
      <c r="C16" s="194"/>
      <c r="D16" s="22"/>
      <c r="E16" s="22"/>
      <c r="F16" s="134"/>
      <c r="G16" s="134"/>
      <c r="H16" s="22"/>
      <c r="I16" s="22"/>
      <c r="J16" s="22"/>
      <c r="K16" s="22"/>
      <c r="L16" s="156"/>
      <c r="N16"/>
      <c r="O16"/>
      <c r="P16"/>
      <c r="Q16"/>
    </row>
    <row r="17" spans="1:17" ht="17" customHeight="1">
      <c r="A17" s="60" t="s">
        <v>24</v>
      </c>
      <c r="B17" s="61"/>
      <c r="C17" s="213"/>
      <c r="D17" s="61"/>
      <c r="E17" s="62"/>
      <c r="F17" s="134"/>
      <c r="G17" s="141"/>
      <c r="H17" s="57" t="s">
        <v>36</v>
      </c>
      <c r="I17" s="58"/>
      <c r="J17" s="59"/>
      <c r="K17" s="22"/>
      <c r="L17" s="156"/>
      <c r="M17" s="269" t="s">
        <v>8</v>
      </c>
      <c r="O17" s="148"/>
      <c r="Q17"/>
    </row>
    <row r="18" spans="1:17">
      <c r="A18" s="485" t="s">
        <v>11</v>
      </c>
      <c r="B18" s="483" t="s">
        <v>227</v>
      </c>
      <c r="C18" s="181"/>
      <c r="D18" s="481" t="s">
        <v>7</v>
      </c>
      <c r="E18" s="482"/>
      <c r="F18" s="18"/>
      <c r="G18" s="43"/>
      <c r="H18" s="487" t="str">
        <f>A18</f>
        <v>g/cl</v>
      </c>
      <c r="I18" s="483" t="s">
        <v>227</v>
      </c>
      <c r="J18" s="70" t="s">
        <v>7</v>
      </c>
      <c r="L18" s="154"/>
      <c r="M18" s="411">
        <f>100-(D12/((D11+D12)/100))</f>
        <v>85.513078470824951</v>
      </c>
      <c r="Q18"/>
    </row>
    <row r="19" spans="1:17" ht="12" customHeight="1">
      <c r="A19" s="486"/>
      <c r="B19" s="484"/>
      <c r="C19" s="73"/>
      <c r="D19" s="72" t="s">
        <v>22</v>
      </c>
      <c r="E19" s="73" t="s">
        <v>23</v>
      </c>
      <c r="F19" s="18"/>
      <c r="G19" s="43"/>
      <c r="H19" s="488"/>
      <c r="I19" s="484"/>
      <c r="J19" s="71" t="s">
        <v>23</v>
      </c>
      <c r="L19" s="154"/>
      <c r="M19" s="269"/>
      <c r="Q19"/>
    </row>
    <row r="20" spans="1:17" ht="8" customHeight="1">
      <c r="A20" s="17"/>
      <c r="B20" s="16"/>
      <c r="C20" s="209"/>
      <c r="D20" s="17"/>
      <c r="E20" s="17"/>
      <c r="F20" s="18"/>
      <c r="G20" s="43"/>
      <c r="H20" s="17"/>
      <c r="I20" s="17"/>
      <c r="J20" s="17"/>
      <c r="L20" s="154"/>
      <c r="P20"/>
      <c r="Q20"/>
    </row>
    <row r="21" spans="1:17">
      <c r="A21" s="216" t="s">
        <v>243</v>
      </c>
      <c r="B21" s="16"/>
      <c r="C21" s="209"/>
      <c r="D21" s="17"/>
      <c r="E21" s="17"/>
      <c r="F21" s="18"/>
      <c r="G21" s="43"/>
      <c r="H21" s="17"/>
      <c r="I21" s="17"/>
      <c r="J21" s="17"/>
      <c r="L21" s="154"/>
      <c r="P21"/>
      <c r="Q21"/>
    </row>
    <row r="22" spans="1:17">
      <c r="A22" s="438">
        <v>60</v>
      </c>
      <c r="B22" s="2" t="s">
        <v>134</v>
      </c>
      <c r="C22" s="185" t="s">
        <v>676</v>
      </c>
      <c r="D22" s="51">
        <v>134</v>
      </c>
      <c r="E22" s="49">
        <f>D22/100*A22</f>
        <v>80.400000000000006</v>
      </c>
      <c r="F22" s="18"/>
      <c r="G22" s="43"/>
      <c r="H22" s="55">
        <f>IF(E22=0,A22,A22/E22*J22)</f>
        <v>51.307847082494973</v>
      </c>
      <c r="I22" s="2" t="str">
        <f t="shared" ref="I22:I28" si="0">B22</f>
        <v>œuf à la coque</v>
      </c>
      <c r="J22" s="49">
        <f>E22*$M$18%</f>
        <v>68.75251509054327</v>
      </c>
      <c r="L22" s="154"/>
      <c r="M22" s="179"/>
      <c r="Q22"/>
    </row>
    <row r="23" spans="1:17">
      <c r="A23" s="438">
        <v>0.5</v>
      </c>
      <c r="B23" s="2" t="s">
        <v>109</v>
      </c>
      <c r="C23" s="197" t="s">
        <v>674</v>
      </c>
      <c r="D23" s="51">
        <v>0</v>
      </c>
      <c r="E23" s="49">
        <f t="shared" ref="E23:E76" si="1">D23/100*A23</f>
        <v>0</v>
      </c>
      <c r="F23" s="18"/>
      <c r="G23" s="43"/>
      <c r="H23" s="55">
        <f t="shared" ref="H23:H28" si="2">IF(E23=0,A23,A23/E23*J23)</f>
        <v>0.5</v>
      </c>
      <c r="I23" s="2" t="str">
        <f t="shared" si="0"/>
        <v>sel</v>
      </c>
      <c r="J23" s="49">
        <f t="shared" ref="J23:J28" si="3">E23*$M$18%</f>
        <v>0</v>
      </c>
      <c r="L23" s="154"/>
      <c r="M23" s="179"/>
      <c r="Q23"/>
    </row>
    <row r="24" spans="1:17">
      <c r="A24" s="438">
        <v>40</v>
      </c>
      <c r="B24" s="2" t="s">
        <v>102</v>
      </c>
      <c r="C24" s="196" t="s">
        <v>673</v>
      </c>
      <c r="D24" s="51">
        <v>229</v>
      </c>
      <c r="E24" s="49">
        <f t="shared" si="1"/>
        <v>91.6</v>
      </c>
      <c r="F24" s="18"/>
      <c r="G24" s="43"/>
      <c r="H24" s="55">
        <f t="shared" si="2"/>
        <v>34.205231388329985</v>
      </c>
      <c r="I24" s="2" t="str">
        <f t="shared" si="0"/>
        <v>pain complet</v>
      </c>
      <c r="J24" s="49">
        <f t="shared" si="3"/>
        <v>78.329979879275655</v>
      </c>
      <c r="L24" s="154"/>
      <c r="M24" s="179"/>
      <c r="O24" s="45"/>
      <c r="Q24"/>
    </row>
    <row r="25" spans="1:17">
      <c r="A25" s="438">
        <v>125</v>
      </c>
      <c r="B25" s="2" t="s">
        <v>137</v>
      </c>
      <c r="C25" s="185" t="s">
        <v>676</v>
      </c>
      <c r="D25" s="51">
        <v>71</v>
      </c>
      <c r="E25" s="49">
        <f t="shared" si="1"/>
        <v>88.75</v>
      </c>
      <c r="F25" s="18"/>
      <c r="G25" s="43"/>
      <c r="H25" s="55">
        <f t="shared" si="2"/>
        <v>106.89134808853119</v>
      </c>
      <c r="I25" s="2" t="str">
        <f t="shared" si="0"/>
        <v>fromage blanc 20%</v>
      </c>
      <c r="J25" s="49">
        <f t="shared" si="3"/>
        <v>75.892857142857153</v>
      </c>
      <c r="L25" s="154"/>
      <c r="M25" s="179"/>
      <c r="O25" s="268"/>
      <c r="Q25"/>
    </row>
    <row r="26" spans="1:17">
      <c r="A26" s="438">
        <v>100</v>
      </c>
      <c r="B26" s="2" t="s">
        <v>136</v>
      </c>
      <c r="C26" s="199" t="s">
        <v>675</v>
      </c>
      <c r="D26" s="51">
        <v>67</v>
      </c>
      <c r="E26" s="49">
        <f t="shared" si="1"/>
        <v>67</v>
      </c>
      <c r="F26" s="18"/>
      <c r="G26" s="43"/>
      <c r="H26" s="55">
        <f t="shared" si="2"/>
        <v>85.513078470824951</v>
      </c>
      <c r="I26" s="2" t="str">
        <f t="shared" si="0"/>
        <v>salade de fruits frais</v>
      </c>
      <c r="J26" s="49">
        <f t="shared" si="3"/>
        <v>57.293762575452718</v>
      </c>
      <c r="L26" s="154"/>
      <c r="M26" s="179"/>
      <c r="O26" s="45"/>
      <c r="Q26"/>
    </row>
    <row r="27" spans="1:17">
      <c r="A27" s="438">
        <v>150</v>
      </c>
      <c r="B27" s="2" t="s">
        <v>135</v>
      </c>
      <c r="C27" s="203"/>
      <c r="D27" s="51">
        <v>0</v>
      </c>
      <c r="E27" s="49">
        <f t="shared" si="1"/>
        <v>0</v>
      </c>
      <c r="F27" s="18"/>
      <c r="G27" s="43"/>
      <c r="H27" s="55">
        <f t="shared" si="2"/>
        <v>150</v>
      </c>
      <c r="I27" s="2" t="str">
        <f t="shared" si="0"/>
        <v>thé</v>
      </c>
      <c r="J27" s="49">
        <f t="shared" si="3"/>
        <v>0</v>
      </c>
      <c r="L27" s="154"/>
      <c r="M27" s="179"/>
      <c r="O27" s="45"/>
      <c r="Q27"/>
    </row>
    <row r="28" spans="1:17">
      <c r="A28" s="438">
        <v>12</v>
      </c>
      <c r="B28" s="2" t="s">
        <v>2</v>
      </c>
      <c r="C28" s="197" t="s">
        <v>674</v>
      </c>
      <c r="D28" s="51">
        <v>400</v>
      </c>
      <c r="E28" s="49">
        <f t="shared" si="1"/>
        <v>48</v>
      </c>
      <c r="F28" s="18"/>
      <c r="G28" s="43"/>
      <c r="H28" s="55">
        <f t="shared" si="2"/>
        <v>10.261569416498995</v>
      </c>
      <c r="I28" s="2" t="str">
        <f t="shared" si="0"/>
        <v>sucre</v>
      </c>
      <c r="J28" s="49">
        <f t="shared" si="3"/>
        <v>41.04627766599598</v>
      </c>
      <c r="L28" s="154"/>
      <c r="M28" s="179"/>
      <c r="O28" s="45"/>
      <c r="Q28"/>
    </row>
    <row r="29" spans="1:17">
      <c r="A29" s="42"/>
      <c r="B29" s="131"/>
      <c r="C29" s="201"/>
      <c r="E29" s="130" t="s">
        <v>6</v>
      </c>
      <c r="F29" s="135">
        <f>SUM(E22:E28)</f>
        <v>375.75</v>
      </c>
      <c r="G29" s="128"/>
      <c r="H29" s="42"/>
      <c r="I29" s="131"/>
      <c r="J29" s="130" t="s">
        <v>6</v>
      </c>
      <c r="K29" s="336">
        <f>SUM(J22:J28)</f>
        <v>321.31539235412481</v>
      </c>
      <c r="L29" s="154"/>
      <c r="O29" s="45"/>
      <c r="Q29"/>
    </row>
    <row r="30" spans="1:17">
      <c r="A30" s="216" t="s">
        <v>225</v>
      </c>
      <c r="B30" s="16"/>
      <c r="C30" s="209"/>
      <c r="D30" s="17"/>
      <c r="E30" s="17"/>
      <c r="F30" s="18"/>
      <c r="G30" s="43"/>
      <c r="H30" s="17"/>
      <c r="I30" s="17"/>
      <c r="J30" s="17"/>
      <c r="L30" s="154"/>
      <c r="P30"/>
      <c r="Q30"/>
    </row>
    <row r="31" spans="1:17">
      <c r="A31" s="495" t="s">
        <v>224</v>
      </c>
      <c r="B31" s="496"/>
      <c r="C31" s="496"/>
      <c r="D31" s="496"/>
      <c r="E31" s="496"/>
      <c r="F31" s="496"/>
      <c r="G31" s="496"/>
      <c r="H31" s="496"/>
      <c r="I31" s="496"/>
      <c r="J31" s="497"/>
      <c r="L31" s="154"/>
      <c r="O31" s="45"/>
      <c r="Q31"/>
    </row>
    <row r="32" spans="1:17">
      <c r="A32" s="438">
        <v>62.5</v>
      </c>
      <c r="B32" s="107" t="s">
        <v>138</v>
      </c>
      <c r="C32" s="184" t="s">
        <v>677</v>
      </c>
      <c r="D32" s="51">
        <v>325</v>
      </c>
      <c r="E32" s="49">
        <f t="shared" si="1"/>
        <v>203.125</v>
      </c>
      <c r="F32" s="18"/>
      <c r="G32" s="43"/>
      <c r="H32" s="55">
        <f>IF(E32=0,A32,A32/E32*J32)</f>
        <v>53.445674044265601</v>
      </c>
      <c r="I32" s="2" t="str">
        <f>B32</f>
        <v>pâte à gâteau</v>
      </c>
      <c r="J32" s="49">
        <f t="shared" ref="J32:J46" si="4">E32*$M$18%</f>
        <v>173.69844064386319</v>
      </c>
      <c r="L32" s="154"/>
      <c r="O32" s="45"/>
      <c r="Q32"/>
    </row>
    <row r="33" spans="1:17">
      <c r="A33" s="438">
        <v>37.5</v>
      </c>
      <c r="B33" s="107" t="s">
        <v>154</v>
      </c>
      <c r="C33" s="184" t="s">
        <v>677</v>
      </c>
      <c r="D33" s="51">
        <v>269</v>
      </c>
      <c r="E33" s="49">
        <f>D33/100*A33</f>
        <v>100.875</v>
      </c>
      <c r="F33" s="68"/>
      <c r="G33" s="128"/>
      <c r="H33" s="55">
        <f>IF(E33=0,A33,A33/E33*J33)</f>
        <v>32.067404426559357</v>
      </c>
      <c r="I33" s="2" t="str">
        <f>B33</f>
        <v>lardons</v>
      </c>
      <c r="J33" s="49">
        <f>E33*$M$18%</f>
        <v>86.261317907444678</v>
      </c>
      <c r="L33" s="154"/>
      <c r="O33" s="45"/>
      <c r="P33"/>
      <c r="Q33"/>
    </row>
    <row r="34" spans="1:17">
      <c r="A34" s="438">
        <v>12.5</v>
      </c>
      <c r="B34" s="107" t="s">
        <v>146</v>
      </c>
      <c r="C34" s="184" t="s">
        <v>677</v>
      </c>
      <c r="D34" s="51">
        <v>396</v>
      </c>
      <c r="E34" s="49">
        <f>D34/100*A34</f>
        <v>49.5</v>
      </c>
      <c r="F34" s="68"/>
      <c r="G34" s="128"/>
      <c r="H34" s="55">
        <f>IF(E34=0,A34,A34/E34*J34)</f>
        <v>10.689134808853119</v>
      </c>
      <c r="I34" s="107" t="str">
        <f>B34</f>
        <v>fromage râpé</v>
      </c>
      <c r="J34" s="49">
        <f>E34*$M$18%</f>
        <v>42.32897384305835</v>
      </c>
      <c r="K34" s="275"/>
      <c r="L34" s="154"/>
      <c r="O34" s="45"/>
      <c r="P34"/>
      <c r="Q34"/>
    </row>
    <row r="35" spans="1:17">
      <c r="A35" s="438">
        <v>37.5</v>
      </c>
      <c r="B35" s="107" t="s">
        <v>139</v>
      </c>
      <c r="C35" s="185" t="s">
        <v>676</v>
      </c>
      <c r="D35" s="51">
        <v>30</v>
      </c>
      <c r="E35" s="49">
        <f t="shared" si="1"/>
        <v>11.25</v>
      </c>
      <c r="F35" s="68"/>
      <c r="G35" s="128"/>
      <c r="H35" s="55">
        <f t="shared" ref="H35:H46" si="5">IF(E35=0,A35,A35/E35*J35)</f>
        <v>32.067404426559357</v>
      </c>
      <c r="I35" s="2" t="str">
        <f t="shared" ref="I35:I46" si="6">B35</f>
        <v>poireau</v>
      </c>
      <c r="J35" s="49">
        <f t="shared" si="4"/>
        <v>9.6202213279678066</v>
      </c>
      <c r="L35" s="154"/>
      <c r="O35" s="45"/>
      <c r="Q35"/>
    </row>
    <row r="36" spans="1:17">
      <c r="A36" s="438">
        <v>18.5</v>
      </c>
      <c r="B36" s="107" t="s">
        <v>143</v>
      </c>
      <c r="C36" s="185" t="s">
        <v>676</v>
      </c>
      <c r="D36" s="51">
        <v>16</v>
      </c>
      <c r="E36" s="49">
        <f>D36/100*A36</f>
        <v>2.96</v>
      </c>
      <c r="F36" s="68"/>
      <c r="G36" s="128"/>
      <c r="H36" s="55">
        <f>IF(E36=0,A36,A36/E36*J36)</f>
        <v>15.819919517102615</v>
      </c>
      <c r="I36" s="2" t="str">
        <f>B36</f>
        <v>poivron jaune</v>
      </c>
      <c r="J36" s="49">
        <f>E36*$M$18%</f>
        <v>2.5311871227364184</v>
      </c>
      <c r="L36" s="154"/>
      <c r="O36" s="45"/>
      <c r="P36"/>
      <c r="Q36"/>
    </row>
    <row r="37" spans="1:17">
      <c r="A37" s="438">
        <v>62.5</v>
      </c>
      <c r="B37" s="107" t="s">
        <v>141</v>
      </c>
      <c r="C37" s="185" t="s">
        <v>676</v>
      </c>
      <c r="D37" s="51">
        <v>30</v>
      </c>
      <c r="E37" s="49">
        <f>D37/100*A37</f>
        <v>18.75</v>
      </c>
      <c r="F37" s="68"/>
      <c r="G37" s="128"/>
      <c r="H37" s="55">
        <f>IF(E37=0,A37,A37/E37*J37)</f>
        <v>53.445674044265594</v>
      </c>
      <c r="I37" s="2" t="str">
        <f>B37</f>
        <v>carottes</v>
      </c>
      <c r="J37" s="49">
        <f>E37*$M$18%</f>
        <v>16.033702213279678</v>
      </c>
      <c r="L37" s="154"/>
      <c r="O37" s="45"/>
      <c r="Q37"/>
    </row>
    <row r="38" spans="1:17">
      <c r="A38" s="438">
        <v>62.5</v>
      </c>
      <c r="B38" s="107" t="s">
        <v>142</v>
      </c>
      <c r="C38" s="185" t="s">
        <v>676</v>
      </c>
      <c r="D38" s="51">
        <v>17</v>
      </c>
      <c r="E38" s="49">
        <f>D38/100*A38</f>
        <v>10.625</v>
      </c>
      <c r="F38" s="68"/>
      <c r="G38" s="128"/>
      <c r="H38" s="55">
        <f>IF(E38=0,A38,A38/E38*J38)</f>
        <v>53.445674044265601</v>
      </c>
      <c r="I38" s="2" t="str">
        <f>B38</f>
        <v>céleri-rave</v>
      </c>
      <c r="J38" s="49">
        <f>E38*$M$18%</f>
        <v>9.0857645875251514</v>
      </c>
      <c r="L38" s="154"/>
      <c r="O38" s="45"/>
      <c r="Q38"/>
    </row>
    <row r="39" spans="1:17">
      <c r="A39" s="438">
        <v>31.5</v>
      </c>
      <c r="B39" s="107" t="s">
        <v>140</v>
      </c>
      <c r="C39" s="185" t="s">
        <v>676</v>
      </c>
      <c r="D39" s="51">
        <v>19</v>
      </c>
      <c r="E39" s="49">
        <f t="shared" si="1"/>
        <v>5.9850000000000003</v>
      </c>
      <c r="F39" s="68"/>
      <c r="G39" s="128"/>
      <c r="H39" s="55">
        <f t="shared" si="5"/>
        <v>26.93661971830986</v>
      </c>
      <c r="I39" s="2" t="str">
        <f t="shared" si="6"/>
        <v>courgette</v>
      </c>
      <c r="J39" s="49">
        <f t="shared" si="4"/>
        <v>5.1179577464788739</v>
      </c>
      <c r="L39" s="154"/>
      <c r="O39" s="45"/>
      <c r="Q39"/>
    </row>
    <row r="40" spans="1:17">
      <c r="A40" s="438">
        <v>12.5</v>
      </c>
      <c r="B40" s="107" t="s">
        <v>148</v>
      </c>
      <c r="C40" s="185" t="s">
        <v>676</v>
      </c>
      <c r="D40" s="51">
        <v>28</v>
      </c>
      <c r="E40" s="49">
        <f>D40/100*A40</f>
        <v>3.5000000000000004</v>
      </c>
      <c r="F40" s="68"/>
      <c r="G40" s="128"/>
      <c r="H40" s="55">
        <f>IF(E40=0,A40,A40/E40*J40)</f>
        <v>10.689134808853121</v>
      </c>
      <c r="I40" s="107" t="str">
        <f>B40</f>
        <v>persil</v>
      </c>
      <c r="J40" s="49">
        <f>E40*$M$18%</f>
        <v>2.9929577464788739</v>
      </c>
      <c r="K40" s="275"/>
      <c r="L40" s="154"/>
      <c r="O40" s="45"/>
      <c r="P40"/>
      <c r="Q40"/>
    </row>
    <row r="41" spans="1:17">
      <c r="A41" s="438">
        <v>37.5</v>
      </c>
      <c r="B41" s="107" t="s">
        <v>145</v>
      </c>
      <c r="C41" s="197" t="s">
        <v>674</v>
      </c>
      <c r="D41" s="51">
        <v>252</v>
      </c>
      <c r="E41" s="49">
        <f>D41/100*A41</f>
        <v>94.5</v>
      </c>
      <c r="F41" s="68"/>
      <c r="G41" s="128"/>
      <c r="H41" s="55">
        <f>IF(E41=0,A41,A41/E41*J41)</f>
        <v>32.067404426559357</v>
      </c>
      <c r="I41" s="107" t="str">
        <f>B41</f>
        <v>crème</v>
      </c>
      <c r="J41" s="49">
        <f>E41*$M$18%</f>
        <v>80.809859154929583</v>
      </c>
      <c r="L41" s="154"/>
      <c r="O41" s="45"/>
      <c r="P41"/>
      <c r="Q41"/>
    </row>
    <row r="42" spans="1:17">
      <c r="A42" s="438">
        <v>25</v>
      </c>
      <c r="B42" s="107" t="s">
        <v>144</v>
      </c>
      <c r="C42" s="185" t="s">
        <v>676</v>
      </c>
      <c r="D42" s="51">
        <v>62</v>
      </c>
      <c r="E42" s="49">
        <f t="shared" si="1"/>
        <v>15.5</v>
      </c>
      <c r="F42" s="68"/>
      <c r="G42" s="128"/>
      <c r="H42" s="55">
        <f t="shared" si="5"/>
        <v>21.378269617706238</v>
      </c>
      <c r="I42" s="2" t="str">
        <f t="shared" si="6"/>
        <v>lait</v>
      </c>
      <c r="J42" s="49">
        <f t="shared" si="4"/>
        <v>13.254527162977867</v>
      </c>
      <c r="L42" s="154"/>
      <c r="O42" s="45"/>
      <c r="P42"/>
      <c r="Q42"/>
    </row>
    <row r="43" spans="1:17">
      <c r="A43" s="438">
        <v>30</v>
      </c>
      <c r="B43" s="107" t="s">
        <v>126</v>
      </c>
      <c r="C43" s="185" t="s">
        <v>676</v>
      </c>
      <c r="D43" s="51">
        <v>146</v>
      </c>
      <c r="E43" s="49">
        <f>D43/100*A43</f>
        <v>43.8</v>
      </c>
      <c r="F43" s="18"/>
      <c r="G43" s="43"/>
      <c r="H43" s="55">
        <f>IF(E43=0,A43,A43/E43*J43)</f>
        <v>25.653923541247487</v>
      </c>
      <c r="I43" s="2"/>
      <c r="J43" s="49">
        <f>E43*$M$18%</f>
        <v>37.454728370221325</v>
      </c>
      <c r="L43" s="154"/>
      <c r="O43" s="45"/>
      <c r="Q43"/>
    </row>
    <row r="44" spans="1:17">
      <c r="A44" s="438">
        <v>1</v>
      </c>
      <c r="B44" s="107" t="s">
        <v>147</v>
      </c>
      <c r="C44" s="197" t="s">
        <v>674</v>
      </c>
      <c r="D44" s="51">
        <v>507</v>
      </c>
      <c r="E44" s="49">
        <f t="shared" si="1"/>
        <v>5.07</v>
      </c>
      <c r="F44" s="68"/>
      <c r="G44" s="128"/>
      <c r="H44" s="55">
        <f t="shared" si="5"/>
        <v>0.85513078470824944</v>
      </c>
      <c r="I44" s="107" t="str">
        <f t="shared" si="6"/>
        <v>muscade</v>
      </c>
      <c r="J44" s="49">
        <f t="shared" si="4"/>
        <v>4.3355130784708251</v>
      </c>
      <c r="K44" s="275"/>
      <c r="L44" s="154"/>
      <c r="O44" s="45"/>
      <c r="P44"/>
      <c r="Q44"/>
    </row>
    <row r="45" spans="1:17">
      <c r="A45" s="438">
        <v>1</v>
      </c>
      <c r="B45" s="107" t="s">
        <v>150</v>
      </c>
      <c r="C45" s="199" t="s">
        <v>675</v>
      </c>
      <c r="D45" s="51">
        <v>222</v>
      </c>
      <c r="E45" s="49">
        <f t="shared" si="1"/>
        <v>2.2200000000000002</v>
      </c>
      <c r="F45" s="68"/>
      <c r="G45" s="128"/>
      <c r="H45" s="55">
        <f t="shared" si="5"/>
        <v>0.85513078470824955</v>
      </c>
      <c r="I45" s="107" t="str">
        <f t="shared" si="6"/>
        <v xml:space="preserve">poivre </v>
      </c>
      <c r="J45" s="49">
        <f t="shared" si="4"/>
        <v>1.8983903420523143</v>
      </c>
      <c r="K45" s="275"/>
      <c r="L45" s="154"/>
      <c r="O45" s="45"/>
      <c r="P45"/>
      <c r="Q45"/>
    </row>
    <row r="46" spans="1:17">
      <c r="A46" s="438">
        <v>1</v>
      </c>
      <c r="B46" s="107" t="s">
        <v>109</v>
      </c>
      <c r="C46" s="197" t="s">
        <v>674</v>
      </c>
      <c r="D46" s="51">
        <v>0</v>
      </c>
      <c r="E46" s="49">
        <f t="shared" si="1"/>
        <v>0</v>
      </c>
      <c r="F46" s="68"/>
      <c r="G46" s="128"/>
      <c r="H46" s="55">
        <f t="shared" si="5"/>
        <v>1</v>
      </c>
      <c r="I46" s="107" t="str">
        <f t="shared" si="6"/>
        <v>sel</v>
      </c>
      <c r="J46" s="49">
        <f t="shared" si="4"/>
        <v>0</v>
      </c>
      <c r="K46" s="275"/>
      <c r="L46" s="154"/>
      <c r="O46" s="45"/>
      <c r="P46"/>
      <c r="Q46"/>
    </row>
    <row r="47" spans="1:17">
      <c r="A47" s="42"/>
      <c r="B47" s="131"/>
      <c r="C47" s="201"/>
      <c r="E47" s="130" t="s">
        <v>6</v>
      </c>
      <c r="F47" s="159">
        <f>SUM(E32:E46)</f>
        <v>567.66</v>
      </c>
      <c r="G47" s="128"/>
      <c r="H47" s="42"/>
      <c r="I47" s="131"/>
      <c r="J47" s="130" t="s">
        <v>6</v>
      </c>
      <c r="K47" s="336">
        <f>SUM(J32:J46)</f>
        <v>485.42354124748493</v>
      </c>
      <c r="L47" s="154"/>
      <c r="O47" s="45"/>
      <c r="Q47"/>
    </row>
    <row r="48" spans="1:17">
      <c r="A48" s="216" t="s">
        <v>228</v>
      </c>
      <c r="B48" s="16"/>
      <c r="C48" s="209"/>
      <c r="D48" s="17"/>
      <c r="E48" s="17"/>
      <c r="F48" s="18"/>
      <c r="G48" s="43"/>
      <c r="H48" s="17"/>
      <c r="I48" s="17"/>
      <c r="J48" s="17"/>
      <c r="L48" s="154"/>
      <c r="P48"/>
      <c r="Q48"/>
    </row>
    <row r="49" spans="1:17">
      <c r="A49" s="438">
        <v>125</v>
      </c>
      <c r="B49" s="107" t="s">
        <v>149</v>
      </c>
      <c r="C49" s="196" t="s">
        <v>673</v>
      </c>
      <c r="D49" s="51">
        <v>127</v>
      </c>
      <c r="E49" s="49">
        <f>D49/100*A49</f>
        <v>158.75</v>
      </c>
      <c r="F49" s="18"/>
      <c r="G49" s="43"/>
      <c r="H49" s="55">
        <f>IF(E49=0,A49,A49/E49*J49)</f>
        <v>106.89134808853119</v>
      </c>
      <c r="I49" s="2" t="str">
        <f>B49</f>
        <v xml:space="preserve">yogourt grec de brebis </v>
      </c>
      <c r="J49" s="49">
        <f>E49*$M$18%</f>
        <v>135.75201207243461</v>
      </c>
      <c r="L49" s="154"/>
    </row>
    <row r="50" spans="1:17">
      <c r="A50" s="438">
        <v>6</v>
      </c>
      <c r="B50" s="2" t="s">
        <v>2</v>
      </c>
      <c r="C50" s="197" t="s">
        <v>674</v>
      </c>
      <c r="D50" s="51">
        <v>400</v>
      </c>
      <c r="E50" s="49">
        <f>D50/100*A50</f>
        <v>24</v>
      </c>
      <c r="F50" s="18"/>
      <c r="G50" s="43"/>
      <c r="H50" s="55">
        <f>IF(E50=0,A50,A50/E50*J50)</f>
        <v>5.1307847082494975</v>
      </c>
      <c r="I50" s="2" t="str">
        <f>B50</f>
        <v>sucre</v>
      </c>
      <c r="J50" s="49">
        <f>E50*$M$18%</f>
        <v>20.52313883299799</v>
      </c>
      <c r="L50" s="154"/>
    </row>
    <row r="51" spans="1:17">
      <c r="A51" s="42"/>
      <c r="B51" s="157"/>
      <c r="C51" s="214"/>
      <c r="E51" s="130" t="s">
        <v>6</v>
      </c>
      <c r="F51" s="139">
        <f>SUM(E49:E50)</f>
        <v>182.75</v>
      </c>
      <c r="G51" s="140"/>
      <c r="H51" s="42"/>
      <c r="I51" s="131"/>
      <c r="J51" s="130" t="s">
        <v>6</v>
      </c>
      <c r="K51" s="336">
        <f>J49+J50</f>
        <v>156.27515090543261</v>
      </c>
      <c r="L51" s="154"/>
      <c r="O51" s="45"/>
      <c r="Q51"/>
    </row>
    <row r="52" spans="1:17" ht="6" customHeight="1">
      <c r="A52" s="17"/>
      <c r="B52" s="17"/>
      <c r="C52" s="209"/>
      <c r="D52" s="68"/>
      <c r="E52" s="17"/>
      <c r="F52" s="18"/>
      <c r="G52" s="43"/>
      <c r="H52" s="17"/>
      <c r="I52" s="17"/>
      <c r="J52" s="17"/>
      <c r="L52" s="154"/>
      <c r="O52" s="45"/>
      <c r="P52"/>
      <c r="Q52"/>
    </row>
    <row r="53" spans="1:17">
      <c r="A53" s="216" t="s">
        <v>226</v>
      </c>
      <c r="B53" s="16"/>
      <c r="C53" s="209"/>
      <c r="D53" s="17"/>
      <c r="E53" s="17"/>
      <c r="F53" s="18"/>
      <c r="G53" s="43"/>
      <c r="H53" s="17"/>
      <c r="I53" s="17"/>
      <c r="J53" s="17"/>
      <c r="L53" s="154"/>
      <c r="P53"/>
      <c r="Q53"/>
    </row>
    <row r="54" spans="1:17">
      <c r="A54" s="495" t="s">
        <v>187</v>
      </c>
      <c r="B54" s="496"/>
      <c r="C54" s="496"/>
      <c r="D54" s="496"/>
      <c r="E54" s="496"/>
      <c r="F54" s="496"/>
      <c r="G54" s="496"/>
      <c r="H54" s="496"/>
      <c r="I54" s="496"/>
      <c r="J54" s="497"/>
      <c r="L54" s="154"/>
      <c r="O54" s="45"/>
      <c r="P54"/>
      <c r="Q54"/>
    </row>
    <row r="55" spans="1:17">
      <c r="A55" s="438">
        <v>150</v>
      </c>
      <c r="B55" s="2" t="s">
        <v>211</v>
      </c>
      <c r="C55" s="185" t="s">
        <v>676</v>
      </c>
      <c r="D55" s="51">
        <v>78</v>
      </c>
      <c r="E55" s="49">
        <f t="shared" si="1"/>
        <v>117</v>
      </c>
      <c r="F55" s="68"/>
      <c r="G55" s="128"/>
      <c r="H55" s="55">
        <f t="shared" ref="H55:H66" si="7">IF(E55=0,A55,A55/E55*J55)</f>
        <v>128.26961770623743</v>
      </c>
      <c r="I55" s="2" t="str">
        <f t="shared" ref="I55:I66" si="8">B55</f>
        <v>dos de cabillaud</v>
      </c>
      <c r="J55" s="49">
        <f t="shared" ref="J55:J79" si="9">E55*$M$18%</f>
        <v>100.05030181086519</v>
      </c>
      <c r="L55" s="154"/>
      <c r="M55" s="412"/>
      <c r="O55" s="45"/>
      <c r="P55"/>
      <c r="Q55"/>
    </row>
    <row r="56" spans="1:17">
      <c r="A56" s="438">
        <v>30</v>
      </c>
      <c r="B56" s="2" t="s">
        <v>212</v>
      </c>
      <c r="C56" s="197" t="s">
        <v>674</v>
      </c>
      <c r="D56" s="51">
        <v>454</v>
      </c>
      <c r="E56" s="49">
        <f t="shared" si="1"/>
        <v>136.19999999999999</v>
      </c>
      <c r="F56" s="68"/>
      <c r="G56" s="128"/>
      <c r="H56" s="55">
        <f t="shared" si="7"/>
        <v>25.653923541247487</v>
      </c>
      <c r="I56" s="2" t="str">
        <f t="shared" si="8"/>
        <v>chorizo</v>
      </c>
      <c r="J56" s="49">
        <f t="shared" si="9"/>
        <v>116.46881287726357</v>
      </c>
      <c r="L56" s="154"/>
      <c r="M56" s="412"/>
      <c r="O56" s="45"/>
      <c r="P56"/>
      <c r="Q56"/>
    </row>
    <row r="57" spans="1:17">
      <c r="A57" s="438">
        <v>10</v>
      </c>
      <c r="B57" s="2" t="s">
        <v>152</v>
      </c>
      <c r="C57" s="185" t="s">
        <v>676</v>
      </c>
      <c r="D57" s="51">
        <v>52</v>
      </c>
      <c r="E57" s="49">
        <f>D57/100*A57</f>
        <v>5.2</v>
      </c>
      <c r="F57" s="68"/>
      <c r="G57" s="128"/>
      <c r="H57" s="55">
        <f>IF(E57=0,A57,A57/E57*J57)</f>
        <v>8.5513078470824944</v>
      </c>
      <c r="I57" s="2" t="str">
        <f>B57</f>
        <v>thym</v>
      </c>
      <c r="J57" s="49">
        <f>E57*$M$18%</f>
        <v>4.4466800804828974</v>
      </c>
      <c r="L57" s="154"/>
      <c r="M57" s="412"/>
      <c r="O57" s="45"/>
      <c r="P57"/>
      <c r="Q57"/>
    </row>
    <row r="58" spans="1:17">
      <c r="A58" s="438">
        <v>6</v>
      </c>
      <c r="B58" s="2" t="s">
        <v>213</v>
      </c>
      <c r="C58" s="197" t="s">
        <v>674</v>
      </c>
      <c r="D58" s="51">
        <v>899</v>
      </c>
      <c r="E58" s="49">
        <f t="shared" si="1"/>
        <v>53.94</v>
      </c>
      <c r="F58" s="68"/>
      <c r="G58" s="128"/>
      <c r="H58" s="55">
        <f t="shared" si="7"/>
        <v>5.1307847082494966</v>
      </c>
      <c r="I58" s="2" t="str">
        <f t="shared" si="8"/>
        <v>huille d'olive</v>
      </c>
      <c r="J58" s="49">
        <f t="shared" si="9"/>
        <v>46.125754527162975</v>
      </c>
      <c r="L58" s="154"/>
      <c r="M58" s="412"/>
      <c r="O58" s="45"/>
      <c r="P58"/>
      <c r="Q58"/>
    </row>
    <row r="59" spans="1:17">
      <c r="A59" s="438">
        <v>100</v>
      </c>
      <c r="B59" s="2" t="s">
        <v>153</v>
      </c>
      <c r="C59" s="185" t="s">
        <v>676</v>
      </c>
      <c r="D59" s="51">
        <v>10</v>
      </c>
      <c r="E59" s="49">
        <f>D59/100*A59</f>
        <v>10</v>
      </c>
      <c r="F59" s="68"/>
      <c r="G59" s="128"/>
      <c r="H59" s="55">
        <f>IF(E59=0,A59,A59/E59*J59)</f>
        <v>85.513078470824965</v>
      </c>
      <c r="I59" s="2" t="str">
        <f>B59</f>
        <v>endives</v>
      </c>
      <c r="J59" s="49">
        <f>E59*$M$18%</f>
        <v>8.5513078470824961</v>
      </c>
      <c r="L59" s="154"/>
      <c r="M59" s="412"/>
      <c r="O59" s="45"/>
      <c r="P59"/>
      <c r="Q59"/>
    </row>
    <row r="60" spans="1:17">
      <c r="A60" s="438">
        <v>6</v>
      </c>
      <c r="B60" s="2" t="s">
        <v>2</v>
      </c>
      <c r="C60" s="197" t="s">
        <v>674</v>
      </c>
      <c r="D60" s="51">
        <v>400</v>
      </c>
      <c r="E60" s="49">
        <f>D60/100*A60</f>
        <v>24</v>
      </c>
      <c r="F60" s="68"/>
      <c r="G60" s="128"/>
      <c r="H60" s="161">
        <f>IF(E60=0,A60,A60/E60*J60)</f>
        <v>5.1307847082494975</v>
      </c>
      <c r="I60" s="2" t="str">
        <f>B60</f>
        <v>sucre</v>
      </c>
      <c r="J60" s="49">
        <f>E60*$M$18%</f>
        <v>20.52313883299799</v>
      </c>
      <c r="K60" s="275"/>
      <c r="L60" s="154"/>
      <c r="M60" s="412"/>
      <c r="O60" s="45"/>
      <c r="P60"/>
      <c r="Q60"/>
    </row>
    <row r="61" spans="1:17">
      <c r="A61" s="438">
        <v>150</v>
      </c>
      <c r="B61" s="2" t="s">
        <v>189</v>
      </c>
      <c r="C61" s="185" t="s">
        <v>676</v>
      </c>
      <c r="D61" s="51">
        <v>76</v>
      </c>
      <c r="E61" s="49">
        <f t="shared" si="1"/>
        <v>114</v>
      </c>
      <c r="F61" s="68"/>
      <c r="G61" s="128"/>
      <c r="H61" s="55">
        <f t="shared" si="7"/>
        <v>128.26961770623745</v>
      </c>
      <c r="I61" s="2" t="str">
        <f t="shared" si="8"/>
        <v>pommes de terre</v>
      </c>
      <c r="J61" s="49">
        <f t="shared" si="9"/>
        <v>97.484909456740453</v>
      </c>
      <c r="L61" s="154"/>
      <c r="M61" s="412"/>
      <c r="O61" s="45"/>
      <c r="P61"/>
      <c r="Q61"/>
    </row>
    <row r="62" spans="1:17">
      <c r="A62" s="438">
        <f>200/4</f>
        <v>50</v>
      </c>
      <c r="B62" s="2" t="s">
        <v>144</v>
      </c>
      <c r="C62" s="199" t="s">
        <v>675</v>
      </c>
      <c r="D62" s="51">
        <v>62</v>
      </c>
      <c r="E62" s="49">
        <f t="shared" si="1"/>
        <v>31</v>
      </c>
      <c r="F62" s="68"/>
      <c r="G62" s="128"/>
      <c r="H62" s="55">
        <f t="shared" si="7"/>
        <v>42.756539235412475</v>
      </c>
      <c r="I62" s="2" t="str">
        <f t="shared" si="8"/>
        <v>lait</v>
      </c>
      <c r="J62" s="49">
        <f t="shared" si="9"/>
        <v>26.509054325955734</v>
      </c>
      <c r="L62" s="154"/>
      <c r="M62" s="412"/>
      <c r="O62" s="45"/>
      <c r="P62"/>
      <c r="Q62"/>
    </row>
    <row r="63" spans="1:17">
      <c r="A63" s="438">
        <v>6</v>
      </c>
      <c r="B63" s="2" t="s">
        <v>0</v>
      </c>
      <c r="C63" s="197" t="s">
        <v>674</v>
      </c>
      <c r="D63" s="51">
        <v>747.3</v>
      </c>
      <c r="E63" s="49">
        <f t="shared" si="1"/>
        <v>44.838000000000001</v>
      </c>
      <c r="F63" s="68"/>
      <c r="G63" s="128"/>
      <c r="H63" s="55">
        <f t="shared" ref="H63" si="10">IF(E63=0,A63,A63/E63*J63)</f>
        <v>5.1307847082494975</v>
      </c>
      <c r="I63" s="2" t="str">
        <f t="shared" ref="I63" si="11">B63</f>
        <v>beurre</v>
      </c>
      <c r="J63" s="49">
        <f t="shared" ref="J63" si="12">E63*$M$18%</f>
        <v>38.342354124748496</v>
      </c>
      <c r="L63" s="154"/>
      <c r="M63" s="412"/>
      <c r="O63" s="45"/>
      <c r="P63"/>
      <c r="Q63"/>
    </row>
    <row r="64" spans="1:17">
      <c r="A64" s="438">
        <f>(45*40%/4)</f>
        <v>4.5</v>
      </c>
      <c r="B64" s="2" t="s">
        <v>151</v>
      </c>
      <c r="C64" s="185" t="s">
        <v>676</v>
      </c>
      <c r="D64" s="51">
        <v>10</v>
      </c>
      <c r="E64" s="49">
        <f t="shared" si="1"/>
        <v>0.45</v>
      </c>
      <c r="F64" s="68"/>
      <c r="G64" s="128"/>
      <c r="H64" s="55">
        <f>IF(E64=0,A64,A64/E64*J64)</f>
        <v>3.8480885311871234</v>
      </c>
      <c r="I64" s="2" t="str">
        <f>B64</f>
        <v>jus de citron vert</v>
      </c>
      <c r="J64" s="49">
        <f>E64*$M$18%</f>
        <v>0.38480885311871232</v>
      </c>
      <c r="L64" s="154"/>
      <c r="M64" s="412"/>
      <c r="O64" s="45"/>
      <c r="P64"/>
      <c r="Q64"/>
    </row>
    <row r="65" spans="1:17">
      <c r="A65" s="438">
        <v>1</v>
      </c>
      <c r="B65" s="2" t="s">
        <v>109</v>
      </c>
      <c r="C65" s="197" t="s">
        <v>674</v>
      </c>
      <c r="D65" s="51">
        <v>0</v>
      </c>
      <c r="E65" s="49">
        <f t="shared" si="1"/>
        <v>0</v>
      </c>
      <c r="F65" s="68"/>
      <c r="G65" s="128"/>
      <c r="H65" s="55">
        <f t="shared" si="7"/>
        <v>1</v>
      </c>
      <c r="I65" s="2" t="str">
        <f t="shared" si="8"/>
        <v>sel</v>
      </c>
      <c r="J65" s="49">
        <f t="shared" si="9"/>
        <v>0</v>
      </c>
      <c r="L65" s="154"/>
      <c r="M65" s="412"/>
      <c r="O65" s="45"/>
      <c r="P65"/>
      <c r="Q65"/>
    </row>
    <row r="66" spans="1:17">
      <c r="A66" s="438">
        <v>0.5</v>
      </c>
      <c r="B66" s="2" t="s">
        <v>116</v>
      </c>
      <c r="C66" s="199" t="s">
        <v>675</v>
      </c>
      <c r="D66" s="51">
        <v>222</v>
      </c>
      <c r="E66" s="49">
        <f t="shared" si="1"/>
        <v>1.1100000000000001</v>
      </c>
      <c r="F66" s="68"/>
      <c r="G66" s="128"/>
      <c r="H66" s="161">
        <f t="shared" si="7"/>
        <v>0.42756539235412477</v>
      </c>
      <c r="I66" s="2" t="str">
        <f t="shared" si="8"/>
        <v>poivre</v>
      </c>
      <c r="J66" s="49">
        <f t="shared" si="9"/>
        <v>0.94919517102615714</v>
      </c>
      <c r="L66" s="154"/>
      <c r="M66" s="412"/>
      <c r="O66" s="45"/>
      <c r="P66"/>
      <c r="Q66"/>
    </row>
    <row r="67" spans="1:17">
      <c r="A67" s="42"/>
      <c r="B67" s="131"/>
      <c r="C67" s="201"/>
      <c r="E67" s="130" t="s">
        <v>6</v>
      </c>
      <c r="F67" s="138">
        <f>SUM(E55:E66)</f>
        <v>537.73800000000006</v>
      </c>
      <c r="G67" s="140"/>
      <c r="H67" s="42"/>
      <c r="I67" s="131"/>
      <c r="J67" s="130" t="s">
        <v>6</v>
      </c>
      <c r="K67" s="336">
        <f>SUM(J55:J66)</f>
        <v>459.83631790744471</v>
      </c>
      <c r="L67" s="154"/>
      <c r="M67" s="412"/>
      <c r="O67" s="45"/>
      <c r="Q67"/>
    </row>
    <row r="68" spans="1:17">
      <c r="A68" s="256" t="s">
        <v>188</v>
      </c>
      <c r="B68" s="257"/>
      <c r="C68" s="257"/>
      <c r="D68" s="257"/>
      <c r="E68" s="257"/>
      <c r="F68" s="259"/>
      <c r="G68" s="260"/>
      <c r="H68" s="257"/>
      <c r="I68" s="257"/>
      <c r="J68" s="258"/>
      <c r="L68" s="154"/>
      <c r="O68" s="45"/>
      <c r="Q68"/>
    </row>
    <row r="69" spans="1:17">
      <c r="A69" s="438">
        <v>83.5</v>
      </c>
      <c r="B69" s="2" t="s">
        <v>155</v>
      </c>
      <c r="C69" s="185" t="s">
        <v>676</v>
      </c>
      <c r="D69" s="51">
        <v>7</v>
      </c>
      <c r="E69" s="49">
        <f t="shared" si="1"/>
        <v>5.8450000000000006</v>
      </c>
      <c r="F69" s="68"/>
      <c r="G69" s="128"/>
      <c r="H69" s="55">
        <f t="shared" ref="H69:H79" si="13">IF(E69=0,A69,A69/E69*J69)</f>
        <v>71.403420523138834</v>
      </c>
      <c r="I69" s="162" t="str">
        <f t="shared" ref="I69:I76" si="14">B69</f>
        <v>rhubarbe</v>
      </c>
      <c r="J69" s="49">
        <f t="shared" si="9"/>
        <v>4.9982394366197189</v>
      </c>
      <c r="L69" s="154"/>
      <c r="M69" s="412"/>
      <c r="O69" s="45"/>
      <c r="P69"/>
      <c r="Q69"/>
    </row>
    <row r="70" spans="1:17">
      <c r="A70" s="438">
        <v>25</v>
      </c>
      <c r="B70" s="2" t="s">
        <v>2</v>
      </c>
      <c r="C70" s="197" t="s">
        <v>674</v>
      </c>
      <c r="D70" s="51">
        <v>400</v>
      </c>
      <c r="E70" s="49">
        <f t="shared" si="1"/>
        <v>100</v>
      </c>
      <c r="F70" s="68"/>
      <c r="G70" s="128"/>
      <c r="H70" s="55">
        <f t="shared" si="13"/>
        <v>21.378269617706238</v>
      </c>
      <c r="I70" s="162" t="str">
        <f t="shared" si="14"/>
        <v>sucre</v>
      </c>
      <c r="J70" s="153">
        <f t="shared" si="9"/>
        <v>85.513078470824951</v>
      </c>
      <c r="L70" s="154"/>
      <c r="M70" s="412"/>
      <c r="O70" s="45"/>
      <c r="P70"/>
      <c r="Q70"/>
    </row>
    <row r="71" spans="1:17">
      <c r="A71" s="438">
        <v>10</v>
      </c>
      <c r="B71" s="2" t="s">
        <v>118</v>
      </c>
      <c r="C71" s="196" t="s">
        <v>673</v>
      </c>
      <c r="D71" s="51">
        <v>338</v>
      </c>
      <c r="E71" s="49">
        <f t="shared" si="1"/>
        <v>33.799999999999997</v>
      </c>
      <c r="F71" s="68"/>
      <c r="G71" s="128"/>
      <c r="H71" s="55">
        <f t="shared" si="13"/>
        <v>8.5513078470824944</v>
      </c>
      <c r="I71" s="162" t="str">
        <f t="shared" si="14"/>
        <v>farine</v>
      </c>
      <c r="J71" s="49">
        <f t="shared" si="9"/>
        <v>28.903420523138831</v>
      </c>
      <c r="L71" s="154"/>
      <c r="M71" s="412"/>
      <c r="O71" s="45"/>
      <c r="P71"/>
      <c r="Q71"/>
    </row>
    <row r="72" spans="1:17">
      <c r="A72" s="438">
        <v>30</v>
      </c>
      <c r="B72" s="2" t="s">
        <v>126</v>
      </c>
      <c r="C72" s="185" t="s">
        <v>676</v>
      </c>
      <c r="D72" s="51">
        <v>146</v>
      </c>
      <c r="E72" s="49">
        <f t="shared" si="1"/>
        <v>43.8</v>
      </c>
      <c r="F72" s="68"/>
      <c r="G72" s="128"/>
      <c r="H72" s="55">
        <f t="shared" si="13"/>
        <v>25.653923541247487</v>
      </c>
      <c r="I72" s="162" t="str">
        <f t="shared" si="14"/>
        <v>œuf</v>
      </c>
      <c r="J72" s="49">
        <f t="shared" si="9"/>
        <v>37.454728370221325</v>
      </c>
      <c r="L72" s="154"/>
      <c r="M72" s="412"/>
      <c r="O72" s="45"/>
      <c r="P72"/>
      <c r="Q72"/>
    </row>
    <row r="73" spans="1:17">
      <c r="A73" s="438">
        <v>33</v>
      </c>
      <c r="B73" s="2" t="s">
        <v>156</v>
      </c>
      <c r="C73" s="197" t="s">
        <v>674</v>
      </c>
      <c r="D73" s="51">
        <v>323</v>
      </c>
      <c r="E73" s="49">
        <f t="shared" si="1"/>
        <v>106.59</v>
      </c>
      <c r="F73" s="68"/>
      <c r="G73" s="128"/>
      <c r="H73" s="55">
        <f t="shared" si="13"/>
        <v>28.219315895372233</v>
      </c>
      <c r="I73" s="162" t="str">
        <f t="shared" si="14"/>
        <v>crème épaisse</v>
      </c>
      <c r="J73" s="49">
        <f t="shared" si="9"/>
        <v>91.148390342052323</v>
      </c>
      <c r="K73" s="275"/>
      <c r="L73" s="154"/>
      <c r="M73" s="412"/>
      <c r="O73" s="45"/>
      <c r="P73"/>
      <c r="Q73"/>
    </row>
    <row r="74" spans="1:17">
      <c r="A74" s="438">
        <v>33</v>
      </c>
      <c r="B74" s="2" t="s">
        <v>144</v>
      </c>
      <c r="C74" s="185" t="s">
        <v>676</v>
      </c>
      <c r="D74" s="2">
        <v>62</v>
      </c>
      <c r="E74" s="49">
        <f t="shared" si="1"/>
        <v>20.46</v>
      </c>
      <c r="F74" s="68"/>
      <c r="G74" s="128"/>
      <c r="H74" s="55">
        <f t="shared" si="13"/>
        <v>28.219315895372237</v>
      </c>
      <c r="I74" s="2" t="str">
        <f t="shared" si="14"/>
        <v>lait</v>
      </c>
      <c r="J74" s="49">
        <f t="shared" si="9"/>
        <v>17.495975855130787</v>
      </c>
      <c r="K74" s="275"/>
      <c r="L74" s="154"/>
      <c r="M74" s="412"/>
      <c r="O74" s="45"/>
      <c r="P74"/>
      <c r="Q74"/>
    </row>
    <row r="75" spans="1:17">
      <c r="A75" s="438">
        <v>0.6</v>
      </c>
      <c r="B75" s="2" t="s">
        <v>157</v>
      </c>
      <c r="C75" s="196" t="s">
        <v>673</v>
      </c>
      <c r="D75" s="2">
        <v>58</v>
      </c>
      <c r="E75" s="49">
        <f t="shared" si="1"/>
        <v>0.34799999999999998</v>
      </c>
      <c r="F75" s="68"/>
      <c r="G75" s="128"/>
      <c r="H75" s="55">
        <f t="shared" si="13"/>
        <v>0.51307847082494973</v>
      </c>
      <c r="I75" s="2" t="str">
        <f t="shared" si="14"/>
        <v>vanille</v>
      </c>
      <c r="J75" s="49">
        <f t="shared" si="9"/>
        <v>0.29758551307847081</v>
      </c>
      <c r="K75" s="275"/>
      <c r="L75" s="154"/>
      <c r="M75" s="412"/>
      <c r="O75" s="45"/>
      <c r="P75"/>
      <c r="Q75"/>
    </row>
    <row r="76" spans="1:17">
      <c r="A76" s="438">
        <v>0.7</v>
      </c>
      <c r="B76" s="2" t="s">
        <v>164</v>
      </c>
      <c r="C76" s="199" t="s">
        <v>675</v>
      </c>
      <c r="D76" s="2">
        <v>243</v>
      </c>
      <c r="E76" s="49">
        <f t="shared" si="1"/>
        <v>1.7010000000000001</v>
      </c>
      <c r="F76" s="68"/>
      <c r="G76" s="128"/>
      <c r="H76" s="161">
        <f t="shared" si="13"/>
        <v>0.59859154929577463</v>
      </c>
      <c r="I76" s="2" t="str">
        <f t="shared" si="14"/>
        <v>cannelle</v>
      </c>
      <c r="J76" s="49">
        <f t="shared" si="9"/>
        <v>1.4545774647887326</v>
      </c>
      <c r="K76" s="275"/>
      <c r="L76" s="154"/>
      <c r="M76" s="412"/>
      <c r="O76" s="45"/>
      <c r="P76"/>
      <c r="Q76"/>
    </row>
    <row r="77" spans="1:17">
      <c r="A77" s="438">
        <v>3</v>
      </c>
      <c r="B77" s="2" t="s">
        <v>234</v>
      </c>
      <c r="C77" s="197" t="s">
        <v>674</v>
      </c>
      <c r="D77" s="51">
        <v>400</v>
      </c>
      <c r="E77" s="49">
        <f t="shared" ref="E77" si="15">D77/100*A77</f>
        <v>12</v>
      </c>
      <c r="F77" s="68"/>
      <c r="G77" s="128"/>
      <c r="H77" s="55">
        <f t="shared" ref="H77" si="16">IF(E77=0,A77,A77/E77*J77)</f>
        <v>2.5653923541247488</v>
      </c>
      <c r="I77" s="162" t="str">
        <f t="shared" ref="I77" si="17">B77</f>
        <v>sucre glace</v>
      </c>
      <c r="J77" s="153">
        <f t="shared" ref="J77" si="18">E77*$M$18%</f>
        <v>10.261569416498995</v>
      </c>
      <c r="L77" s="154"/>
      <c r="M77" s="412"/>
      <c r="O77" s="45"/>
      <c r="P77"/>
      <c r="Q77"/>
    </row>
    <row r="78" spans="1:17">
      <c r="A78" s="42"/>
      <c r="B78" s="131"/>
      <c r="C78" s="201"/>
      <c r="E78" s="143" t="s">
        <v>6</v>
      </c>
      <c r="F78" s="159">
        <f>SUM(E69:E77)</f>
        <v>324.54399999999998</v>
      </c>
      <c r="G78" s="25"/>
      <c r="H78" s="42"/>
      <c r="I78" s="131"/>
      <c r="J78" s="143" t="s">
        <v>6</v>
      </c>
      <c r="K78" s="336">
        <f>SUM(J69:J77)</f>
        <v>277.52756539235412</v>
      </c>
      <c r="L78" s="154"/>
      <c r="M78" s="412"/>
      <c r="O78" s="45"/>
      <c r="Q78"/>
    </row>
    <row r="79" spans="1:17">
      <c r="A79" s="54">
        <f>IF(D5="non",0,IF(D5="1 verre",125,250))</f>
        <v>0</v>
      </c>
      <c r="B79" s="2" t="str">
        <f>IF(A79=0,"","vin")</f>
        <v/>
      </c>
      <c r="C79" s="203"/>
      <c r="D79" s="51">
        <v>80</v>
      </c>
      <c r="E79" s="49">
        <f>D79/100*A79</f>
        <v>0</v>
      </c>
      <c r="F79" s="136" t="s">
        <v>12</v>
      </c>
      <c r="G79" s="142"/>
      <c r="H79" s="55">
        <f t="shared" si="13"/>
        <v>0</v>
      </c>
      <c r="I79" s="2" t="str">
        <f>B79</f>
        <v/>
      </c>
      <c r="J79" s="49">
        <f t="shared" si="9"/>
        <v>0</v>
      </c>
      <c r="L79" s="154"/>
      <c r="M79" s="412"/>
      <c r="O79" s="45"/>
      <c r="P79"/>
      <c r="Q79"/>
    </row>
    <row r="80" spans="1:17" ht="6" customHeight="1">
      <c r="A80" s="17"/>
      <c r="B80" s="17"/>
      <c r="C80" s="209"/>
      <c r="D80" s="68"/>
      <c r="E80" s="17"/>
      <c r="F80" s="18"/>
      <c r="G80" s="43"/>
      <c r="H80" s="17"/>
      <c r="I80" s="17"/>
      <c r="J80" s="17"/>
      <c r="L80" s="154"/>
      <c r="P80"/>
      <c r="Q80"/>
    </row>
    <row r="81" spans="1:17">
      <c r="A81" s="17"/>
      <c r="B81" s="17"/>
      <c r="C81" s="209"/>
      <c r="D81" s="69" t="s">
        <v>129</v>
      </c>
      <c r="F81" s="160">
        <f>SUM(F22:F79)</f>
        <v>1988.442</v>
      </c>
      <c r="G81" s="130"/>
      <c r="H81" s="17"/>
      <c r="I81" s="69" t="s">
        <v>129</v>
      </c>
      <c r="K81" s="336">
        <f>SUM(K22:K79)</f>
        <v>1700.3779678068411</v>
      </c>
      <c r="L81" s="154"/>
      <c r="P81"/>
      <c r="Q81"/>
    </row>
    <row r="82" spans="1:17">
      <c r="A82" s="17"/>
      <c r="B82" s="17"/>
      <c r="C82" s="209"/>
      <c r="D82" s="18" t="s">
        <v>130</v>
      </c>
      <c r="E82" s="25"/>
      <c r="F82" s="144">
        <f>F81+E79</f>
        <v>1988.442</v>
      </c>
      <c r="G82" s="43"/>
      <c r="H82" s="42"/>
      <c r="I82" s="18" t="s">
        <v>130</v>
      </c>
      <c r="J82" s="25"/>
      <c r="K82" s="336">
        <f>K81+J79</f>
        <v>1700.3779678068411</v>
      </c>
      <c r="L82" s="154"/>
      <c r="P82"/>
      <c r="Q82"/>
    </row>
    <row r="83" spans="1:17">
      <c r="A83" s="17"/>
      <c r="B83" s="16"/>
      <c r="C83" s="209"/>
      <c r="D83" s="17"/>
      <c r="E83" s="17"/>
      <c r="F83" s="18"/>
      <c r="G83" s="43"/>
      <c r="H83" s="17"/>
      <c r="I83" s="17"/>
      <c r="J83" s="17"/>
      <c r="L83" s="154"/>
      <c r="P83"/>
      <c r="Q83"/>
    </row>
    <row r="84" spans="1:17" ht="19">
      <c r="A84" s="118" t="s">
        <v>100</v>
      </c>
      <c r="B84" s="491" t="s">
        <v>99</v>
      </c>
      <c r="C84" s="491"/>
      <c r="D84" s="17"/>
      <c r="E84" s="17"/>
      <c r="F84" s="18"/>
      <c r="G84" s="18"/>
      <c r="H84" s="17"/>
      <c r="I84" s="17"/>
      <c r="J84" s="17"/>
      <c r="L84" s="154"/>
      <c r="P84"/>
      <c r="Q84"/>
    </row>
    <row r="85" spans="1:17" ht="409" customHeight="1">
      <c r="A85" s="17"/>
      <c r="B85" s="16"/>
      <c r="C85" s="209"/>
      <c r="D85" s="17"/>
      <c r="E85" s="17"/>
      <c r="F85" s="18"/>
      <c r="G85" s="18"/>
      <c r="H85" s="17"/>
      <c r="I85" s="17"/>
      <c r="J85" s="17"/>
      <c r="L85" s="154"/>
      <c r="P85"/>
      <c r="Q85"/>
    </row>
    <row r="86" spans="1:17">
      <c r="A86" s="17"/>
      <c r="B86" s="16"/>
      <c r="C86" s="209"/>
      <c r="D86" s="17"/>
      <c r="E86" s="17"/>
      <c r="F86" s="18"/>
      <c r="G86" s="18"/>
      <c r="H86" s="17"/>
      <c r="I86" s="17"/>
      <c r="J86" s="17"/>
      <c r="L86" s="154"/>
      <c r="P86"/>
      <c r="Q86"/>
    </row>
    <row r="87" spans="1:17">
      <c r="A87" s="17"/>
      <c r="B87" s="16"/>
      <c r="C87" s="209"/>
      <c r="D87" s="17"/>
      <c r="E87" s="17"/>
      <c r="F87" s="18"/>
      <c r="G87" s="18"/>
      <c r="H87" s="17"/>
      <c r="I87" s="17"/>
      <c r="J87" s="17"/>
      <c r="L87" s="154"/>
      <c r="P87"/>
      <c r="Q87"/>
    </row>
    <row r="88" spans="1:17">
      <c r="F88" s="18"/>
      <c r="G88" s="18"/>
      <c r="L88" s="154"/>
    </row>
  </sheetData>
  <sheetProtection password="A5F4" sheet="1" objects="1" scenarios="1" selectLockedCells="1"/>
  <mergeCells count="10">
    <mergeCell ref="B84:C84"/>
    <mergeCell ref="D8:J8"/>
    <mergeCell ref="B15:J15"/>
    <mergeCell ref="A18:A19"/>
    <mergeCell ref="B18:B19"/>
    <mergeCell ref="D18:E18"/>
    <mergeCell ref="H18:H19"/>
    <mergeCell ref="I18:I19"/>
    <mergeCell ref="A54:J54"/>
    <mergeCell ref="A31:J31"/>
  </mergeCells>
  <hyperlinks>
    <hyperlink ref="B84" location="sommaire!A1" display="RETOUR AU SOMMAIRE"/>
    <hyperlink ref="C84" location="sommaire!A1" display="sommaire!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
  <sheetViews>
    <sheetView workbookViewId="0">
      <selection activeCell="D5" sqref="D5"/>
    </sheetView>
  </sheetViews>
  <sheetFormatPr baseColWidth="10" defaultRowHeight="15" x14ac:dyDescent="0"/>
  <cols>
    <col min="1" max="1" width="6.33203125" customWidth="1"/>
    <col min="2" max="2" width="24.6640625" style="5" customWidth="1"/>
    <col min="3" max="3" width="3.33203125" style="215" customWidth="1"/>
    <col min="4" max="4" width="8.1640625" customWidth="1"/>
    <col min="5" max="5" width="8" customWidth="1"/>
    <col min="6" max="6" width="7.5" style="136" customWidth="1"/>
    <col min="7" max="7" width="1.83203125" style="136" customWidth="1"/>
    <col min="8" max="8" width="6.6640625" customWidth="1"/>
    <col min="9" max="9" width="24.5" customWidth="1"/>
    <col min="10" max="10" width="8.33203125" customWidth="1"/>
    <col min="11" max="11" width="6.6640625" style="228" customWidth="1"/>
    <col min="12" max="12" width="172.5" style="124" customWidth="1"/>
    <col min="13" max="13" width="9.6640625" style="407" customWidth="1"/>
    <col min="14" max="14" width="3.33203125" style="44" customWidth="1"/>
    <col min="15" max="17" width="10.83203125" style="44"/>
  </cols>
  <sheetData>
    <row r="1" spans="1:17" ht="19">
      <c r="A1" s="207" t="s">
        <v>751</v>
      </c>
      <c r="B1" s="120"/>
      <c r="C1" s="208"/>
      <c r="D1" s="121"/>
      <c r="E1" s="121"/>
      <c r="F1" s="122"/>
      <c r="G1" s="122"/>
      <c r="H1" s="122"/>
      <c r="I1" s="123" t="s">
        <v>101</v>
      </c>
      <c r="J1" s="199" t="s">
        <v>675</v>
      </c>
      <c r="L1" s="154"/>
      <c r="N1"/>
      <c r="O1"/>
      <c r="P1"/>
      <c r="Q1"/>
    </row>
    <row r="2" spans="1:17">
      <c r="A2" s="17"/>
      <c r="B2" s="16" t="s">
        <v>12</v>
      </c>
      <c r="C2" s="209"/>
      <c r="D2" s="17"/>
      <c r="E2" s="17"/>
      <c r="F2" s="18"/>
      <c r="G2" s="18"/>
      <c r="H2" s="17"/>
      <c r="I2" s="17"/>
      <c r="J2" s="17"/>
      <c r="L2" s="154"/>
      <c r="N2"/>
      <c r="O2"/>
      <c r="P2"/>
      <c r="Q2"/>
    </row>
    <row r="3" spans="1:17">
      <c r="A3" s="16" t="s">
        <v>19</v>
      </c>
      <c r="B3" s="16"/>
      <c r="C3" s="209"/>
      <c r="D3" s="15">
        <f>ROUND(F80,0)</f>
        <v>1998</v>
      </c>
      <c r="E3" s="17" t="s">
        <v>9</v>
      </c>
      <c r="F3" s="18"/>
      <c r="G3" s="18"/>
      <c r="H3" s="42"/>
      <c r="I3" s="42"/>
      <c r="J3" s="42"/>
      <c r="L3" s="154"/>
      <c r="N3"/>
      <c r="O3"/>
      <c r="P3"/>
      <c r="Q3"/>
    </row>
    <row r="4" spans="1:17" ht="12" customHeight="1">
      <c r="A4" s="24" t="s">
        <v>26</v>
      </c>
      <c r="B4" s="16"/>
      <c r="C4" s="209"/>
      <c r="D4" s="19"/>
      <c r="E4" s="17"/>
      <c r="F4" s="18"/>
      <c r="G4" s="18"/>
      <c r="H4" s="17"/>
      <c r="I4" s="17"/>
      <c r="J4" s="17"/>
      <c r="L4" s="154"/>
      <c r="N4"/>
      <c r="O4"/>
      <c r="P4"/>
      <c r="Q4"/>
    </row>
    <row r="5" spans="1:17">
      <c r="A5" s="16" t="s">
        <v>29</v>
      </c>
      <c r="B5" s="16"/>
      <c r="C5" s="210" t="s">
        <v>25</v>
      </c>
      <c r="D5" s="436" t="s">
        <v>10</v>
      </c>
      <c r="E5" s="17" t="str">
        <f>IF(D5="non","",IF(D5=1,d!B22,d!B23))</f>
        <v/>
      </c>
      <c r="F5" s="18"/>
      <c r="G5" s="18"/>
      <c r="H5" s="17"/>
      <c r="I5" s="17"/>
      <c r="J5" s="17"/>
      <c r="L5" s="154"/>
      <c r="N5"/>
      <c r="O5"/>
      <c r="P5"/>
      <c r="Q5"/>
    </row>
    <row r="6" spans="1:17">
      <c r="A6" s="16" t="s">
        <v>18</v>
      </c>
      <c r="B6" s="16"/>
      <c r="C6" s="209"/>
      <c r="D6" s="437">
        <v>0</v>
      </c>
      <c r="E6" s="17" t="s">
        <v>9</v>
      </c>
      <c r="F6" s="98"/>
      <c r="G6" s="414" t="s">
        <v>100</v>
      </c>
      <c r="H6" s="415" t="s">
        <v>33</v>
      </c>
      <c r="I6" s="17"/>
      <c r="J6" s="17"/>
      <c r="L6" s="154"/>
      <c r="N6"/>
      <c r="O6"/>
      <c r="P6"/>
      <c r="Q6"/>
    </row>
    <row r="7" spans="1:17">
      <c r="A7" s="21" t="s">
        <v>35</v>
      </c>
      <c r="B7" s="16"/>
      <c r="C7" s="210"/>
      <c r="D7" s="74">
        <f>jour_1!D7</f>
        <v>1700</v>
      </c>
      <c r="E7" s="17" t="s">
        <v>9</v>
      </c>
      <c r="F7" s="18"/>
      <c r="G7" s="416"/>
      <c r="H7" s="417" t="s">
        <v>816</v>
      </c>
      <c r="I7" s="17"/>
      <c r="J7" s="17"/>
      <c r="L7" s="154"/>
      <c r="N7"/>
      <c r="O7"/>
      <c r="P7"/>
      <c r="Q7"/>
    </row>
    <row r="8" spans="1:17" ht="45" customHeight="1">
      <c r="A8" s="167"/>
      <c r="B8" s="16"/>
      <c r="C8" s="209"/>
      <c r="D8" s="480" t="str">
        <f>IF(D5="non","",d!A24)</f>
        <v/>
      </c>
      <c r="E8" s="480"/>
      <c r="F8" s="480"/>
      <c r="G8" s="480"/>
      <c r="H8" s="480"/>
      <c r="I8" s="480"/>
      <c r="J8" s="480"/>
      <c r="K8" s="334"/>
      <c r="L8" s="155"/>
      <c r="N8"/>
      <c r="O8"/>
      <c r="P8"/>
      <c r="Q8"/>
    </row>
    <row r="9" spans="1:17" ht="6" customHeight="1">
      <c r="A9" s="17"/>
      <c r="B9" s="16"/>
      <c r="C9" s="209"/>
      <c r="D9" s="18"/>
      <c r="E9" s="17"/>
      <c r="F9" s="18"/>
      <c r="G9" s="18"/>
      <c r="H9" s="17"/>
      <c r="I9" s="17"/>
      <c r="J9" s="17"/>
      <c r="L9" s="154"/>
      <c r="N9"/>
      <c r="O9"/>
      <c r="P9"/>
      <c r="Q9"/>
    </row>
    <row r="10" spans="1:17">
      <c r="A10" s="17"/>
      <c r="B10" s="26" t="s">
        <v>14</v>
      </c>
      <c r="C10" s="211"/>
      <c r="D10" s="28"/>
      <c r="E10" s="28"/>
      <c r="F10" s="133"/>
      <c r="G10" s="133"/>
      <c r="H10" s="28"/>
      <c r="I10" s="28"/>
      <c r="J10" s="29"/>
      <c r="L10" s="154"/>
      <c r="N10"/>
      <c r="O10"/>
      <c r="P10"/>
      <c r="Q10"/>
    </row>
    <row r="11" spans="1:17">
      <c r="A11" s="17"/>
      <c r="B11" s="30" t="s">
        <v>15</v>
      </c>
      <c r="C11" s="191"/>
      <c r="D11" s="15">
        <f>D7+D6</f>
        <v>1700</v>
      </c>
      <c r="E11" s="32" t="s">
        <v>7</v>
      </c>
      <c r="F11" s="31"/>
      <c r="G11" s="31"/>
      <c r="H11" s="33"/>
      <c r="I11" s="33"/>
      <c r="J11" s="34"/>
      <c r="L11" s="154"/>
      <c r="N11"/>
      <c r="O11"/>
      <c r="P11"/>
      <c r="Q11"/>
    </row>
    <row r="12" spans="1:17">
      <c r="A12" s="17"/>
      <c r="B12" s="30" t="s">
        <v>16</v>
      </c>
      <c r="C12" s="191"/>
      <c r="D12" s="23">
        <f>ABS(M13)</f>
        <v>298</v>
      </c>
      <c r="E12" s="32" t="s">
        <v>7</v>
      </c>
      <c r="F12" s="32" t="str">
        <f>IF(M13&gt;0,d!A44,d!A45)</f>
        <v>de moins que les menus Pan Metron du jour</v>
      </c>
      <c r="G12" s="31"/>
      <c r="H12" s="33"/>
      <c r="I12" s="33"/>
      <c r="J12" s="34"/>
      <c r="L12" s="154"/>
      <c r="M12" s="407" t="s">
        <v>132</v>
      </c>
      <c r="N12"/>
      <c r="O12"/>
      <c r="P12"/>
      <c r="Q12"/>
    </row>
    <row r="13" spans="1:17" ht="13" customHeight="1">
      <c r="A13" s="24"/>
      <c r="B13" s="35"/>
      <c r="C13" s="212"/>
      <c r="D13" s="37"/>
      <c r="E13" s="1"/>
      <c r="F13" s="38" t="str">
        <f>IF(D5="non","",d!A46)</f>
        <v/>
      </c>
      <c r="G13" s="39"/>
      <c r="H13" s="38"/>
      <c r="I13" s="38"/>
      <c r="J13" s="40"/>
      <c r="L13" s="154"/>
      <c r="M13" s="408">
        <f>D3+E78-D11</f>
        <v>298</v>
      </c>
      <c r="N13"/>
      <c r="O13"/>
      <c r="P13"/>
      <c r="Q13"/>
    </row>
    <row r="14" spans="1:17" ht="8" customHeight="1">
      <c r="A14" s="24"/>
      <c r="B14" s="41"/>
      <c r="C14" s="191"/>
      <c r="D14" s="19"/>
      <c r="E14" s="42"/>
      <c r="F14" s="43"/>
      <c r="G14" s="43"/>
      <c r="H14" s="42"/>
      <c r="I14" s="42"/>
      <c r="J14" s="42"/>
      <c r="L14" s="154"/>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156"/>
      <c r="M15" s="409"/>
      <c r="N15"/>
      <c r="O15"/>
      <c r="P15"/>
      <c r="Q15"/>
    </row>
    <row r="16" spans="1:17" ht="12" customHeight="1">
      <c r="A16" s="17"/>
      <c r="B16" s="22"/>
      <c r="C16" s="194"/>
      <c r="D16" s="22"/>
      <c r="E16" s="22"/>
      <c r="F16" s="134"/>
      <c r="G16" s="134"/>
      <c r="H16" s="22"/>
      <c r="I16" s="22"/>
      <c r="J16" s="22"/>
      <c r="K16" s="22"/>
      <c r="L16" s="156"/>
      <c r="N16"/>
      <c r="O16"/>
      <c r="P16"/>
      <c r="Q16"/>
    </row>
    <row r="17" spans="1:17" ht="17" customHeight="1">
      <c r="A17" s="60" t="s">
        <v>24</v>
      </c>
      <c r="B17" s="61"/>
      <c r="C17" s="213"/>
      <c r="D17" s="61"/>
      <c r="E17" s="62"/>
      <c r="F17" s="134"/>
      <c r="G17" s="141"/>
      <c r="H17" s="57" t="s">
        <v>36</v>
      </c>
      <c r="I17" s="58"/>
      <c r="J17" s="59"/>
      <c r="K17" s="22"/>
      <c r="L17" s="156"/>
      <c r="M17" s="269" t="s">
        <v>8</v>
      </c>
      <c r="O17" s="148"/>
      <c r="Q17"/>
    </row>
    <row r="18" spans="1:17">
      <c r="A18" s="485" t="s">
        <v>11</v>
      </c>
      <c r="B18" s="483" t="s">
        <v>227</v>
      </c>
      <c r="C18" s="182"/>
      <c r="D18" s="481" t="s">
        <v>7</v>
      </c>
      <c r="E18" s="482"/>
      <c r="F18" s="18"/>
      <c r="G18" s="43"/>
      <c r="H18" s="487" t="str">
        <f>A18</f>
        <v>g/cl</v>
      </c>
      <c r="I18" s="483" t="s">
        <v>227</v>
      </c>
      <c r="J18" s="70" t="s">
        <v>7</v>
      </c>
      <c r="L18" s="154"/>
      <c r="M18" s="411">
        <f>100-(D12/((D11+D12)/100))</f>
        <v>85.085085085085083</v>
      </c>
      <c r="Q18"/>
    </row>
    <row r="19" spans="1:17" ht="12" customHeight="1">
      <c r="A19" s="486"/>
      <c r="B19" s="484"/>
      <c r="C19" s="73"/>
      <c r="D19" s="72" t="s">
        <v>22</v>
      </c>
      <c r="E19" s="73" t="s">
        <v>23</v>
      </c>
      <c r="F19" s="176"/>
      <c r="G19" s="217"/>
      <c r="H19" s="488"/>
      <c r="I19" s="484"/>
      <c r="J19" s="71" t="s">
        <v>23</v>
      </c>
      <c r="L19" s="154"/>
      <c r="M19" s="269"/>
      <c r="Q19"/>
    </row>
    <row r="20" spans="1:17" ht="7" customHeight="1">
      <c r="A20" s="17"/>
      <c r="B20" s="16"/>
      <c r="C20" s="209"/>
      <c r="D20" s="17"/>
      <c r="E20" s="17"/>
      <c r="F20" s="18"/>
      <c r="G20" s="43"/>
      <c r="H20" s="17"/>
      <c r="I20" s="17"/>
      <c r="J20" s="17"/>
      <c r="L20" s="154"/>
      <c r="P20"/>
      <c r="Q20"/>
    </row>
    <row r="21" spans="1:17">
      <c r="A21" s="216" t="s">
        <v>244</v>
      </c>
      <c r="B21" s="16"/>
      <c r="C21" s="209"/>
      <c r="D21" s="17"/>
      <c r="E21" s="17"/>
      <c r="F21" s="18"/>
      <c r="G21" s="43"/>
      <c r="H21" s="17"/>
      <c r="I21" s="17"/>
      <c r="J21" s="17"/>
      <c r="L21" s="154"/>
      <c r="P21"/>
      <c r="Q21"/>
    </row>
    <row r="22" spans="1:17" s="167" customFormat="1">
      <c r="A22" s="438">
        <v>50</v>
      </c>
      <c r="B22" s="107" t="s">
        <v>160</v>
      </c>
      <c r="C22" s="196" t="s">
        <v>673</v>
      </c>
      <c r="D22" s="164">
        <v>382</v>
      </c>
      <c r="E22" s="49">
        <f t="shared" ref="E22:E27" si="0">D22/100*A22</f>
        <v>191</v>
      </c>
      <c r="F22" s="176"/>
      <c r="G22" s="217"/>
      <c r="H22" s="55">
        <f>IF(E22=0,A22,A22/E22*J22)</f>
        <v>42.542542542542549</v>
      </c>
      <c r="I22" s="2" t="str">
        <f t="shared" ref="I22:I27" si="1">B22</f>
        <v>céréales au miel</v>
      </c>
      <c r="J22" s="49">
        <f t="shared" ref="J22:J27" si="2">E22*$M$18%</f>
        <v>162.51251251251253</v>
      </c>
      <c r="K22" s="228"/>
      <c r="L22" s="124"/>
      <c r="M22" s="407"/>
      <c r="N22" s="44"/>
      <c r="O22" s="44"/>
      <c r="P22" s="44"/>
    </row>
    <row r="23" spans="1:17">
      <c r="A23" s="438">
        <v>150</v>
      </c>
      <c r="B23" s="2" t="s">
        <v>1</v>
      </c>
      <c r="C23" s="218"/>
      <c r="D23" s="51">
        <v>0</v>
      </c>
      <c r="E23" s="49">
        <f t="shared" si="0"/>
        <v>0</v>
      </c>
      <c r="F23" s="176"/>
      <c r="G23" s="217"/>
      <c r="H23" s="55">
        <f t="shared" ref="H23:H27" si="3">IF(E23=0,A23,A23/E23*J23)</f>
        <v>150</v>
      </c>
      <c r="I23" s="2" t="str">
        <f t="shared" si="1"/>
        <v>café</v>
      </c>
      <c r="J23" s="49">
        <f t="shared" si="2"/>
        <v>0</v>
      </c>
      <c r="L23" s="154"/>
      <c r="O23" s="45"/>
      <c r="Q23"/>
    </row>
    <row r="24" spans="1:17">
      <c r="A24" s="438">
        <v>4</v>
      </c>
      <c r="B24" s="2" t="s">
        <v>2</v>
      </c>
      <c r="C24" s="186" t="s">
        <v>674</v>
      </c>
      <c r="D24" s="51">
        <v>400</v>
      </c>
      <c r="E24" s="49">
        <f t="shared" si="0"/>
        <v>16</v>
      </c>
      <c r="F24" s="18"/>
      <c r="G24" s="43"/>
      <c r="H24" s="55">
        <f t="shared" si="3"/>
        <v>3.4034034034034035</v>
      </c>
      <c r="I24" s="2" t="str">
        <f t="shared" si="1"/>
        <v>sucre</v>
      </c>
      <c r="J24" s="49">
        <f t="shared" si="2"/>
        <v>13.613613613613614</v>
      </c>
      <c r="L24" s="154"/>
      <c r="O24" s="45"/>
      <c r="Q24"/>
    </row>
    <row r="25" spans="1:17">
      <c r="A25" s="438">
        <v>12</v>
      </c>
      <c r="B25" s="2" t="s">
        <v>5</v>
      </c>
      <c r="C25" s="196" t="s">
        <v>673</v>
      </c>
      <c r="D25" s="51">
        <v>161</v>
      </c>
      <c r="E25" s="49">
        <f t="shared" si="0"/>
        <v>19.32</v>
      </c>
      <c r="F25" s="18"/>
      <c r="G25" s="43"/>
      <c r="H25" s="55">
        <f t="shared" si="3"/>
        <v>10.21021021021021</v>
      </c>
      <c r="I25" s="2" t="str">
        <f t="shared" si="1"/>
        <v>crème à café</v>
      </c>
      <c r="J25" s="49">
        <f t="shared" si="2"/>
        <v>16.438438438438439</v>
      </c>
      <c r="L25" s="154"/>
      <c r="O25" s="45"/>
      <c r="Q25"/>
    </row>
    <row r="26" spans="1:17">
      <c r="A26" s="438">
        <v>125</v>
      </c>
      <c r="B26" s="2" t="s">
        <v>123</v>
      </c>
      <c r="C26" s="183" t="s">
        <v>675</v>
      </c>
      <c r="D26" s="51">
        <v>87</v>
      </c>
      <c r="E26" s="49">
        <f t="shared" si="0"/>
        <v>108.75</v>
      </c>
      <c r="F26" s="18"/>
      <c r="G26" s="43"/>
      <c r="H26" s="55">
        <f t="shared" si="3"/>
        <v>106.35635635635636</v>
      </c>
      <c r="I26" s="2" t="str">
        <f t="shared" si="1"/>
        <v>yogourt aux fruits</v>
      </c>
      <c r="J26" s="49">
        <f t="shared" si="2"/>
        <v>92.530030030030034</v>
      </c>
      <c r="L26" s="154"/>
      <c r="O26" s="45"/>
      <c r="Q26"/>
    </row>
    <row r="27" spans="1:17">
      <c r="A27" s="438">
        <v>150</v>
      </c>
      <c r="B27" s="2" t="s">
        <v>103</v>
      </c>
      <c r="C27" s="183" t="s">
        <v>675</v>
      </c>
      <c r="D27" s="51">
        <v>45</v>
      </c>
      <c r="E27" s="49">
        <f t="shared" si="0"/>
        <v>67.5</v>
      </c>
      <c r="F27" s="18"/>
      <c r="G27" s="43"/>
      <c r="H27" s="55">
        <f t="shared" si="3"/>
        <v>127.62762762762765</v>
      </c>
      <c r="I27" s="125" t="str">
        <f t="shared" si="1"/>
        <v>jus d'orange maison</v>
      </c>
      <c r="J27" s="49">
        <f t="shared" si="2"/>
        <v>57.432432432432435</v>
      </c>
      <c r="L27" s="154"/>
      <c r="O27" s="45"/>
      <c r="Q27"/>
    </row>
    <row r="28" spans="1:17">
      <c r="A28" s="17"/>
      <c r="B28" s="17"/>
      <c r="C28" s="209"/>
      <c r="D28" s="68"/>
      <c r="E28" s="17"/>
      <c r="F28" s="135">
        <f>SUM(E22:E27)</f>
        <v>402.57</v>
      </c>
      <c r="G28" s="128"/>
      <c r="H28" s="42"/>
      <c r="I28" s="131"/>
      <c r="J28" s="130" t="s">
        <v>6</v>
      </c>
      <c r="K28" s="336">
        <f>SUM(J22:J27)</f>
        <v>342.52702702702709</v>
      </c>
      <c r="L28" s="154"/>
      <c r="O28" s="45"/>
      <c r="Q28"/>
    </row>
    <row r="29" spans="1:17">
      <c r="A29" s="216" t="s">
        <v>225</v>
      </c>
      <c r="B29" s="16"/>
      <c r="C29" s="209"/>
      <c r="D29" s="17"/>
      <c r="E29" s="17"/>
      <c r="F29" s="18"/>
      <c r="G29" s="43"/>
      <c r="H29" s="17"/>
      <c r="I29" s="17"/>
      <c r="J29" s="17"/>
      <c r="L29" s="154"/>
      <c r="P29"/>
      <c r="Q29"/>
    </row>
    <row r="30" spans="1:17">
      <c r="A30" s="256" t="s">
        <v>235</v>
      </c>
      <c r="B30" s="257"/>
      <c r="C30" s="257"/>
      <c r="D30" s="257"/>
      <c r="E30" s="257"/>
      <c r="F30" s="257"/>
      <c r="G30" s="257"/>
      <c r="H30" s="257"/>
      <c r="I30" s="257"/>
      <c r="J30" s="258"/>
      <c r="L30" s="154"/>
      <c r="O30" s="45"/>
      <c r="Q30"/>
    </row>
    <row r="31" spans="1:17">
      <c r="A31" s="438">
        <v>80</v>
      </c>
      <c r="B31" s="2" t="s">
        <v>236</v>
      </c>
      <c r="C31" s="184" t="s">
        <v>677</v>
      </c>
      <c r="D31" s="51">
        <v>269</v>
      </c>
      <c r="E31" s="49">
        <f t="shared" ref="E31:E76" si="4">D31/100*A31</f>
        <v>215.2</v>
      </c>
      <c r="F31" s="18"/>
      <c r="G31" s="43"/>
      <c r="H31" s="55">
        <f t="shared" ref="H31:H37" si="5">IF(E31=0,A31,A31/E31*J31)</f>
        <v>68.068068068068072</v>
      </c>
      <c r="I31" s="2" t="str">
        <f t="shared" ref="I31:I39" si="6">B31</f>
        <v xml:space="preserve"> pain de mie</v>
      </c>
      <c r="J31" s="49">
        <f t="shared" ref="J31:J37" si="7">E31*$M$18%</f>
        <v>183.10310310310311</v>
      </c>
      <c r="L31" s="154"/>
      <c r="O31" s="45"/>
      <c r="Q31"/>
    </row>
    <row r="32" spans="1:17">
      <c r="A32" s="438">
        <v>60</v>
      </c>
      <c r="B32" s="2" t="s">
        <v>181</v>
      </c>
      <c r="C32" s="185" t="s">
        <v>676</v>
      </c>
      <c r="D32" s="51">
        <v>146</v>
      </c>
      <c r="E32" s="49">
        <f t="shared" si="4"/>
        <v>87.6</v>
      </c>
      <c r="F32" s="18"/>
      <c r="G32" s="43"/>
      <c r="H32" s="55">
        <f t="shared" si="5"/>
        <v>51.051051051051054</v>
      </c>
      <c r="I32" s="2" t="str">
        <f t="shared" si="6"/>
        <v>œufs</v>
      </c>
      <c r="J32" s="49">
        <f t="shared" si="7"/>
        <v>74.534534534534529</v>
      </c>
      <c r="L32" s="154"/>
      <c r="O32" s="45"/>
      <c r="Q32"/>
    </row>
    <row r="33" spans="1:17">
      <c r="A33" s="438">
        <v>50</v>
      </c>
      <c r="B33" s="2" t="s">
        <v>237</v>
      </c>
      <c r="C33" s="196" t="s">
        <v>673</v>
      </c>
      <c r="D33" s="51">
        <v>125</v>
      </c>
      <c r="E33" s="49">
        <f t="shared" si="4"/>
        <v>62.5</v>
      </c>
      <c r="F33" s="18"/>
      <c r="G33" s="43"/>
      <c r="H33" s="55">
        <f t="shared" si="5"/>
        <v>42.542542542542549</v>
      </c>
      <c r="I33" s="2" t="str">
        <f t="shared" si="6"/>
        <v xml:space="preserve">jambon  </v>
      </c>
      <c r="J33" s="49">
        <f t="shared" si="7"/>
        <v>53.178178178178179</v>
      </c>
      <c r="L33" s="154"/>
      <c r="O33" s="45"/>
      <c r="Q33"/>
    </row>
    <row r="34" spans="1:17">
      <c r="A34" s="438">
        <v>30</v>
      </c>
      <c r="B34" s="2" t="s">
        <v>238</v>
      </c>
      <c r="C34" s="184" t="s">
        <v>677</v>
      </c>
      <c r="D34" s="51">
        <v>292</v>
      </c>
      <c r="E34" s="49">
        <f t="shared" si="4"/>
        <v>87.6</v>
      </c>
      <c r="F34" s="68"/>
      <c r="G34" s="128"/>
      <c r="H34" s="55">
        <f t="shared" si="5"/>
        <v>25.525525525525527</v>
      </c>
      <c r="I34" s="2" t="str">
        <f t="shared" si="6"/>
        <v xml:space="preserve">chèvre crémeux </v>
      </c>
      <c r="J34" s="49">
        <f t="shared" si="7"/>
        <v>74.534534534534529</v>
      </c>
      <c r="L34" s="154"/>
      <c r="O34" s="45"/>
      <c r="Q34"/>
    </row>
    <row r="35" spans="1:17">
      <c r="A35" s="438">
        <v>50</v>
      </c>
      <c r="B35" s="2" t="s">
        <v>239</v>
      </c>
      <c r="C35" s="185" t="s">
        <v>676</v>
      </c>
      <c r="D35" s="51">
        <v>18</v>
      </c>
      <c r="E35" s="49">
        <f t="shared" si="4"/>
        <v>9</v>
      </c>
      <c r="F35" s="68"/>
      <c r="G35" s="128"/>
      <c r="H35" s="55">
        <f t="shared" si="5"/>
        <v>42.542542542542542</v>
      </c>
      <c r="I35" s="2" t="str">
        <f t="shared" si="6"/>
        <v>salade</v>
      </c>
      <c r="J35" s="49">
        <f t="shared" si="7"/>
        <v>7.6576576576576576</v>
      </c>
      <c r="L35" s="154"/>
      <c r="O35" s="45"/>
      <c r="Q35"/>
    </row>
    <row r="36" spans="1:17">
      <c r="A36" s="438">
        <v>50</v>
      </c>
      <c r="B36" s="2" t="s">
        <v>240</v>
      </c>
      <c r="C36" s="185" t="s">
        <v>676</v>
      </c>
      <c r="D36" s="51">
        <v>19</v>
      </c>
      <c r="E36" s="49">
        <f t="shared" si="4"/>
        <v>9.5</v>
      </c>
      <c r="F36" s="68"/>
      <c r="G36" s="128"/>
      <c r="H36" s="55">
        <f t="shared" si="5"/>
        <v>42.542542542542549</v>
      </c>
      <c r="I36" s="2" t="str">
        <f t="shared" si="6"/>
        <v>tomates</v>
      </c>
      <c r="J36" s="49">
        <f t="shared" si="7"/>
        <v>8.0830830830830838</v>
      </c>
      <c r="L36" s="154"/>
      <c r="O36" s="45"/>
      <c r="Q36"/>
    </row>
    <row r="37" spans="1:17">
      <c r="A37" s="438">
        <v>12</v>
      </c>
      <c r="B37" s="2" t="s">
        <v>162</v>
      </c>
      <c r="C37" s="197" t="s">
        <v>674</v>
      </c>
      <c r="D37" s="51">
        <v>446</v>
      </c>
      <c r="E37" s="49">
        <f t="shared" si="4"/>
        <v>53.519999999999996</v>
      </c>
      <c r="F37" s="68"/>
      <c r="G37" s="128"/>
      <c r="H37" s="55">
        <f t="shared" si="5"/>
        <v>10.21021021021021</v>
      </c>
      <c r="I37" s="2" t="str">
        <f t="shared" si="6"/>
        <v>sauce française</v>
      </c>
      <c r="J37" s="49">
        <f t="shared" si="7"/>
        <v>45.537537537537538</v>
      </c>
      <c r="O37" s="45"/>
      <c r="Q37"/>
    </row>
    <row r="38" spans="1:17">
      <c r="A38" s="66" t="s">
        <v>127</v>
      </c>
      <c r="B38" s="63"/>
      <c r="C38" s="202"/>
      <c r="D38" s="63"/>
      <c r="E38" s="64"/>
      <c r="F38" s="18"/>
      <c r="G38" s="43"/>
      <c r="H38" s="65"/>
      <c r="I38" s="63"/>
      <c r="J38" s="67"/>
      <c r="L38" s="154"/>
      <c r="O38" s="45"/>
      <c r="Q38"/>
    </row>
    <row r="39" spans="1:17">
      <c r="A39" s="438">
        <v>125</v>
      </c>
      <c r="B39" s="2" t="s">
        <v>163</v>
      </c>
      <c r="C39" s="196" t="s">
        <v>673</v>
      </c>
      <c r="D39" s="51">
        <v>100</v>
      </c>
      <c r="E39" s="49">
        <f>D39/100*A39</f>
        <v>125</v>
      </c>
      <c r="F39" s="18"/>
      <c r="G39" s="43"/>
      <c r="H39" s="55">
        <f>IF(E39=0,A39,A39/E39*J39)</f>
        <v>106.35635635635636</v>
      </c>
      <c r="I39" s="56" t="str">
        <f t="shared" si="6"/>
        <v>yogourt mocca</v>
      </c>
      <c r="J39" s="49">
        <f>E39*$M$18%</f>
        <v>106.35635635635636</v>
      </c>
      <c r="L39" s="154"/>
      <c r="O39" s="45"/>
      <c r="P39"/>
      <c r="Q39"/>
    </row>
    <row r="40" spans="1:17">
      <c r="A40" s="42"/>
      <c r="B40" s="131"/>
      <c r="C40" s="201"/>
      <c r="E40" s="130" t="s">
        <v>6</v>
      </c>
      <c r="F40" s="139">
        <f>SUM(E31:E39)</f>
        <v>649.91999999999996</v>
      </c>
      <c r="G40" s="43"/>
      <c r="H40" s="42"/>
      <c r="I40" s="131"/>
      <c r="J40" s="130" t="s">
        <v>6</v>
      </c>
      <c r="K40" s="336">
        <f>SUM(J31:J39)</f>
        <v>552.98498498498498</v>
      </c>
      <c r="L40" s="154"/>
      <c r="O40" s="45"/>
      <c r="P40"/>
      <c r="Q40"/>
    </row>
    <row r="41" spans="1:17" ht="6" customHeight="1">
      <c r="A41" s="17"/>
      <c r="B41" s="17"/>
      <c r="C41" s="209"/>
      <c r="D41" s="68"/>
      <c r="E41" s="17"/>
      <c r="F41" s="18"/>
      <c r="G41" s="43"/>
      <c r="H41" s="17"/>
      <c r="I41" s="17"/>
      <c r="J41" s="17"/>
      <c r="L41" s="154"/>
      <c r="O41" s="45"/>
      <c r="P41"/>
      <c r="Q41"/>
    </row>
    <row r="42" spans="1:17">
      <c r="A42" s="216" t="s">
        <v>228</v>
      </c>
      <c r="B42" s="16"/>
      <c r="C42" s="209"/>
      <c r="D42" s="17"/>
      <c r="E42" s="17"/>
      <c r="F42" s="18"/>
      <c r="G42" s="43"/>
      <c r="H42" s="17"/>
      <c r="I42" s="17"/>
      <c r="J42" s="17"/>
      <c r="L42" s="154"/>
      <c r="P42"/>
      <c r="Q42"/>
    </row>
    <row r="43" spans="1:17">
      <c r="A43" s="438">
        <v>150</v>
      </c>
      <c r="B43" s="107" t="s">
        <v>4</v>
      </c>
      <c r="C43" s="183" t="s">
        <v>675</v>
      </c>
      <c r="D43" s="51">
        <v>55</v>
      </c>
      <c r="E43" s="49">
        <f>D43/100*A43</f>
        <v>82.5</v>
      </c>
      <c r="G43" s="43"/>
      <c r="H43" s="55">
        <f>IF(E43=0,A43,A43/E43*J43)</f>
        <v>127.62762762762763</v>
      </c>
      <c r="I43" s="2" t="str">
        <f>B43</f>
        <v>pomme</v>
      </c>
      <c r="J43" s="49">
        <f>E43*$M$18%</f>
        <v>70.195195195195197</v>
      </c>
      <c r="L43" s="154"/>
    </row>
    <row r="44" spans="1:17">
      <c r="A44" s="42"/>
      <c r="B44" s="157"/>
      <c r="C44" s="214"/>
      <c r="E44" s="130" t="s">
        <v>6</v>
      </c>
      <c r="F44" s="159">
        <f>SUM(E43:E43)</f>
        <v>82.5</v>
      </c>
      <c r="G44" s="140"/>
      <c r="H44" s="42"/>
      <c r="I44" s="131"/>
      <c r="J44" s="130" t="s">
        <v>6</v>
      </c>
      <c r="K44" s="336">
        <f>J43</f>
        <v>70.195195195195197</v>
      </c>
      <c r="L44" s="154"/>
      <c r="O44" s="45"/>
      <c r="Q44"/>
    </row>
    <row r="45" spans="1:17" ht="6" customHeight="1">
      <c r="A45" s="17"/>
      <c r="B45" s="17"/>
      <c r="C45" s="209"/>
      <c r="D45" s="68"/>
      <c r="E45" s="17"/>
      <c r="F45" s="18"/>
      <c r="G45" s="43"/>
      <c r="H45" s="17"/>
      <c r="I45" s="17"/>
      <c r="J45" s="17"/>
      <c r="L45" s="154"/>
      <c r="O45" s="45"/>
      <c r="P45"/>
      <c r="Q45"/>
    </row>
    <row r="46" spans="1:17">
      <c r="A46" s="216" t="s">
        <v>226</v>
      </c>
      <c r="B46" s="16"/>
      <c r="C46" s="209"/>
      <c r="D46" s="17"/>
      <c r="E46" s="17"/>
      <c r="F46" s="18"/>
      <c r="G46" s="43"/>
      <c r="H46" s="17"/>
      <c r="I46" s="17"/>
      <c r="J46" s="17"/>
      <c r="L46" s="154"/>
      <c r="P46"/>
      <c r="Q46"/>
    </row>
    <row r="47" spans="1:17">
      <c r="A47" s="256" t="s">
        <v>263</v>
      </c>
      <c r="B47" s="257"/>
      <c r="C47" s="257"/>
      <c r="D47" s="257"/>
      <c r="E47" s="257"/>
      <c r="F47" s="257"/>
      <c r="G47" s="257"/>
      <c r="H47" s="257"/>
      <c r="I47" s="257"/>
      <c r="J47" s="258"/>
      <c r="L47" s="154"/>
      <c r="O47" s="45"/>
      <c r="Q47"/>
    </row>
    <row r="48" spans="1:17">
      <c r="A48" s="438">
        <v>150</v>
      </c>
      <c r="B48" s="2" t="s">
        <v>165</v>
      </c>
      <c r="C48" s="185" t="s">
        <v>676</v>
      </c>
      <c r="D48" s="51">
        <v>108</v>
      </c>
      <c r="E48" s="49">
        <f t="shared" si="4"/>
        <v>162</v>
      </c>
      <c r="F48" s="68"/>
      <c r="G48" s="128"/>
      <c r="H48" s="55">
        <f t="shared" ref="H48:H61" si="8">IF(E48=0,A48,A48/E48*J48)</f>
        <v>127.62762762762763</v>
      </c>
      <c r="I48" s="2" t="str">
        <f t="shared" ref="I48:I76" si="9">B48</f>
        <v>blanc de poulet</v>
      </c>
      <c r="J48" s="49">
        <f t="shared" ref="J48:J61" si="10">E48*$M$18%</f>
        <v>137.83783783783784</v>
      </c>
      <c r="L48" s="154"/>
      <c r="O48" s="45"/>
      <c r="P48"/>
      <c r="Q48"/>
    </row>
    <row r="49" spans="1:17">
      <c r="A49" s="438">
        <v>2</v>
      </c>
      <c r="B49" s="2" t="s">
        <v>166</v>
      </c>
      <c r="C49" s="196" t="s">
        <v>673</v>
      </c>
      <c r="D49" s="51">
        <v>319</v>
      </c>
      <c r="E49" s="49">
        <f t="shared" si="4"/>
        <v>6.38</v>
      </c>
      <c r="F49" s="169"/>
      <c r="G49" s="128"/>
      <c r="H49" s="55">
        <f t="shared" si="8"/>
        <v>1.7017017017017018</v>
      </c>
      <c r="I49" s="2" t="str">
        <f t="shared" si="9"/>
        <v>paprika</v>
      </c>
      <c r="J49" s="49">
        <f t="shared" si="10"/>
        <v>5.4284284284284281</v>
      </c>
      <c r="L49" s="154"/>
      <c r="O49" s="45"/>
      <c r="P49"/>
      <c r="Q49"/>
    </row>
    <row r="50" spans="1:17">
      <c r="A50" s="438">
        <v>150</v>
      </c>
      <c r="B50" s="2" t="s">
        <v>167</v>
      </c>
      <c r="C50" s="185" t="s">
        <v>676</v>
      </c>
      <c r="D50" s="51">
        <v>46</v>
      </c>
      <c r="E50" s="49">
        <f t="shared" si="4"/>
        <v>69</v>
      </c>
      <c r="F50" s="169"/>
      <c r="G50" s="128"/>
      <c r="H50" s="55">
        <f t="shared" si="8"/>
        <v>127.62762762762763</v>
      </c>
      <c r="I50" s="2" t="str">
        <f t="shared" si="9"/>
        <v>yogourt nature</v>
      </c>
      <c r="J50" s="49">
        <f t="shared" si="10"/>
        <v>58.708708708708713</v>
      </c>
      <c r="L50" s="154"/>
      <c r="O50" s="45"/>
      <c r="P50"/>
      <c r="Q50"/>
    </row>
    <row r="51" spans="1:17">
      <c r="A51" s="438">
        <v>2.5</v>
      </c>
      <c r="B51" s="2" t="s">
        <v>168</v>
      </c>
      <c r="C51" s="185" t="s">
        <v>676</v>
      </c>
      <c r="D51" s="51">
        <v>45</v>
      </c>
      <c r="E51" s="49">
        <f t="shared" si="4"/>
        <v>1.125</v>
      </c>
      <c r="F51" s="169"/>
      <c r="G51" s="128"/>
      <c r="H51" s="55">
        <f t="shared" si="8"/>
        <v>2.1271271271271273</v>
      </c>
      <c r="I51" s="2" t="str">
        <f t="shared" si="9"/>
        <v>piment</v>
      </c>
      <c r="J51" s="49">
        <f t="shared" si="10"/>
        <v>0.9572072072072072</v>
      </c>
      <c r="L51" s="154"/>
      <c r="O51" s="45"/>
      <c r="P51"/>
      <c r="Q51"/>
    </row>
    <row r="52" spans="1:17">
      <c r="A52" s="438">
        <v>1.25</v>
      </c>
      <c r="B52" s="2" t="s">
        <v>176</v>
      </c>
      <c r="C52" s="185" t="s">
        <v>676</v>
      </c>
      <c r="D52" s="51">
        <v>82</v>
      </c>
      <c r="E52" s="49">
        <f t="shared" si="4"/>
        <v>1.0249999999999999</v>
      </c>
      <c r="F52" s="170"/>
      <c r="G52" s="128"/>
      <c r="H52" s="55">
        <f t="shared" si="8"/>
        <v>1.0635635635635636</v>
      </c>
      <c r="I52" s="2" t="str">
        <f t="shared" si="9"/>
        <v>gingembre</v>
      </c>
      <c r="J52" s="49">
        <f t="shared" si="10"/>
        <v>0.87212212212212203</v>
      </c>
      <c r="L52" s="154"/>
      <c r="O52" s="45"/>
      <c r="P52"/>
      <c r="Q52"/>
    </row>
    <row r="53" spans="1:17">
      <c r="A53" s="438">
        <v>4</v>
      </c>
      <c r="B53" s="2" t="s">
        <v>169</v>
      </c>
      <c r="C53" s="185" t="s">
        <v>676</v>
      </c>
      <c r="D53" s="51">
        <v>131</v>
      </c>
      <c r="E53" s="49">
        <f t="shared" si="4"/>
        <v>5.24</v>
      </c>
      <c r="F53" s="169"/>
      <c r="G53" s="128"/>
      <c r="H53" s="55">
        <f t="shared" si="8"/>
        <v>3.4034034034034035</v>
      </c>
      <c r="I53" s="2" t="str">
        <f t="shared" si="9"/>
        <v>aïl</v>
      </c>
      <c r="J53" s="49">
        <f t="shared" si="10"/>
        <v>4.458458458458459</v>
      </c>
      <c r="L53" s="154"/>
      <c r="O53" s="45"/>
      <c r="P53"/>
      <c r="Q53"/>
    </row>
    <row r="54" spans="1:17">
      <c r="A54" s="438">
        <v>0.25</v>
      </c>
      <c r="B54" s="2" t="s">
        <v>115</v>
      </c>
      <c r="C54" s="184" t="s">
        <v>677</v>
      </c>
      <c r="D54" s="51">
        <v>352</v>
      </c>
      <c r="E54" s="49">
        <f t="shared" si="4"/>
        <v>0.88</v>
      </c>
      <c r="F54" s="170"/>
      <c r="G54" s="128"/>
      <c r="H54" s="161">
        <f t="shared" si="8"/>
        <v>0.21271271271271272</v>
      </c>
      <c r="I54" s="2" t="str">
        <f t="shared" si="9"/>
        <v>safran</v>
      </c>
      <c r="J54" s="49">
        <f t="shared" si="10"/>
        <v>0.74874874874874875</v>
      </c>
      <c r="L54" s="154"/>
      <c r="O54" s="45"/>
      <c r="P54"/>
      <c r="Q54"/>
    </row>
    <row r="55" spans="1:17">
      <c r="A55" s="438">
        <v>0.5</v>
      </c>
      <c r="B55" s="2" t="s">
        <v>170</v>
      </c>
      <c r="C55" s="183" t="s">
        <v>675</v>
      </c>
      <c r="D55" s="51">
        <v>243</v>
      </c>
      <c r="E55" s="49">
        <f t="shared" si="4"/>
        <v>1.2150000000000001</v>
      </c>
      <c r="F55" s="169"/>
      <c r="G55" s="128"/>
      <c r="H55" s="55">
        <f t="shared" si="8"/>
        <v>0.4254254254254255</v>
      </c>
      <c r="I55" s="2" t="str">
        <f t="shared" si="9"/>
        <v>canelle</v>
      </c>
      <c r="J55" s="49">
        <f t="shared" si="10"/>
        <v>1.033783783783784</v>
      </c>
      <c r="L55" s="154"/>
      <c r="O55" s="45"/>
      <c r="P55"/>
      <c r="Q55"/>
    </row>
    <row r="56" spans="1:17">
      <c r="A56" s="438">
        <v>7.5</v>
      </c>
      <c r="B56" s="2" t="s">
        <v>151</v>
      </c>
      <c r="C56" s="185" t="s">
        <v>676</v>
      </c>
      <c r="D56" s="51">
        <v>10</v>
      </c>
      <c r="E56" s="49">
        <f t="shared" si="4"/>
        <v>0.75</v>
      </c>
      <c r="F56" s="169"/>
      <c r="G56" s="128"/>
      <c r="H56" s="161">
        <f t="shared" si="8"/>
        <v>6.3813813813813809</v>
      </c>
      <c r="I56" s="2" t="str">
        <f t="shared" si="9"/>
        <v>jus de citron vert</v>
      </c>
      <c r="J56" s="49">
        <f t="shared" si="10"/>
        <v>0.63813813813813813</v>
      </c>
      <c r="K56" s="275"/>
      <c r="L56" s="154"/>
      <c r="O56" s="45"/>
      <c r="P56"/>
      <c r="Q56"/>
    </row>
    <row r="57" spans="1:17">
      <c r="A57" s="438">
        <v>7.5</v>
      </c>
      <c r="B57" s="2" t="s">
        <v>171</v>
      </c>
      <c r="C57" s="185" t="s">
        <v>676</v>
      </c>
      <c r="D57" s="51">
        <v>49</v>
      </c>
      <c r="E57" s="49">
        <f t="shared" si="4"/>
        <v>3.6749999999999998</v>
      </c>
      <c r="F57" s="169"/>
      <c r="G57" s="128"/>
      <c r="H57" s="55">
        <f t="shared" si="8"/>
        <v>6.3813813813813809</v>
      </c>
      <c r="I57" s="2" t="str">
        <f t="shared" si="9"/>
        <v>menthe</v>
      </c>
      <c r="J57" s="49">
        <f t="shared" si="10"/>
        <v>3.1268768768768767</v>
      </c>
      <c r="L57" s="154"/>
      <c r="O57" s="45"/>
      <c r="P57"/>
      <c r="Q57"/>
    </row>
    <row r="58" spans="1:17">
      <c r="A58" s="438">
        <v>25</v>
      </c>
      <c r="B58" s="2" t="s">
        <v>140</v>
      </c>
      <c r="C58" s="185" t="s">
        <v>676</v>
      </c>
      <c r="D58" s="51">
        <v>13</v>
      </c>
      <c r="E58" s="49">
        <f t="shared" si="4"/>
        <v>3.25</v>
      </c>
      <c r="F58" s="169"/>
      <c r="G58" s="128"/>
      <c r="H58" s="55">
        <f t="shared" si="8"/>
        <v>21.271271271271271</v>
      </c>
      <c r="I58" s="2" t="str">
        <f t="shared" si="9"/>
        <v>courgette</v>
      </c>
      <c r="J58" s="49">
        <f t="shared" si="10"/>
        <v>2.7652652652652652</v>
      </c>
      <c r="L58" s="154"/>
      <c r="O58" s="45"/>
      <c r="P58"/>
      <c r="Q58"/>
    </row>
    <row r="59" spans="1:17">
      <c r="A59" s="438">
        <v>25</v>
      </c>
      <c r="B59" s="2" t="s">
        <v>173</v>
      </c>
      <c r="C59" s="185" t="s">
        <v>676</v>
      </c>
      <c r="D59" s="51">
        <v>16</v>
      </c>
      <c r="E59" s="49">
        <f t="shared" si="4"/>
        <v>4</v>
      </c>
      <c r="F59" s="169"/>
      <c r="G59" s="128"/>
      <c r="H59" s="55">
        <f t="shared" si="8"/>
        <v>21.271271271271271</v>
      </c>
      <c r="I59" s="2" t="str">
        <f t="shared" si="9"/>
        <v>poivron</v>
      </c>
      <c r="J59" s="49">
        <f t="shared" si="10"/>
        <v>3.4034034034034035</v>
      </c>
      <c r="L59" s="154"/>
      <c r="O59" s="45"/>
      <c r="P59"/>
      <c r="Q59"/>
    </row>
    <row r="60" spans="1:17">
      <c r="A60" s="438">
        <v>25</v>
      </c>
      <c r="B60" s="2" t="s">
        <v>174</v>
      </c>
      <c r="C60" s="185" t="s">
        <v>676</v>
      </c>
      <c r="D60" s="51">
        <v>19</v>
      </c>
      <c r="E60" s="49">
        <f t="shared" si="4"/>
        <v>4.75</v>
      </c>
      <c r="F60" s="169"/>
      <c r="G60" s="128"/>
      <c r="H60" s="55">
        <f t="shared" si="8"/>
        <v>21.271271271271274</v>
      </c>
      <c r="I60" s="2" t="str">
        <f t="shared" si="9"/>
        <v>tomate</v>
      </c>
      <c r="J60" s="49">
        <f t="shared" si="10"/>
        <v>4.0415415415415419</v>
      </c>
      <c r="L60" s="154"/>
      <c r="O60" s="45"/>
      <c r="P60"/>
      <c r="Q60"/>
    </row>
    <row r="61" spans="1:17">
      <c r="A61" s="438">
        <v>25</v>
      </c>
      <c r="B61" s="2" t="s">
        <v>175</v>
      </c>
      <c r="C61" s="185" t="s">
        <v>676</v>
      </c>
      <c r="D61" s="51">
        <v>46</v>
      </c>
      <c r="E61" s="49">
        <f t="shared" si="4"/>
        <v>11.5</v>
      </c>
      <c r="F61" s="169"/>
      <c r="G61" s="128"/>
      <c r="H61" s="55">
        <f t="shared" si="8"/>
        <v>21.271271271271271</v>
      </c>
      <c r="I61" s="2" t="str">
        <f t="shared" si="9"/>
        <v>oignons</v>
      </c>
      <c r="J61" s="49">
        <f t="shared" si="10"/>
        <v>9.7847847847847849</v>
      </c>
      <c r="L61" s="154"/>
      <c r="O61" s="45"/>
      <c r="P61"/>
      <c r="Q61"/>
    </row>
    <row r="62" spans="1:17">
      <c r="A62" s="438">
        <v>3</v>
      </c>
      <c r="B62" s="2" t="s">
        <v>109</v>
      </c>
      <c r="C62" s="197" t="s">
        <v>674</v>
      </c>
      <c r="D62" s="51">
        <v>0</v>
      </c>
      <c r="E62" s="49">
        <f>D62/100*A62</f>
        <v>0</v>
      </c>
      <c r="F62" s="169"/>
      <c r="G62" s="128"/>
      <c r="H62" s="55">
        <f>IF(E62=0,A62,A62/E62*J62)</f>
        <v>3</v>
      </c>
      <c r="I62" s="2" t="str">
        <f>B62</f>
        <v>sel</v>
      </c>
      <c r="J62" s="49">
        <f>E62*$M$18%</f>
        <v>0</v>
      </c>
      <c r="L62" s="154"/>
      <c r="O62" s="45"/>
      <c r="P62"/>
      <c r="Q62"/>
    </row>
    <row r="63" spans="1:17">
      <c r="A63" s="438">
        <v>1</v>
      </c>
      <c r="B63" s="2" t="s">
        <v>116</v>
      </c>
      <c r="C63" s="199" t="s">
        <v>675</v>
      </c>
      <c r="D63" s="51">
        <v>222</v>
      </c>
      <c r="E63" s="49">
        <f>D63/100*A63</f>
        <v>2.2200000000000002</v>
      </c>
      <c r="F63" s="169"/>
      <c r="G63" s="128"/>
      <c r="H63" s="55">
        <f>IF(E63=0,A63,A63/E63*J63)</f>
        <v>0.85085085085085088</v>
      </c>
      <c r="I63" s="2" t="str">
        <f>B63</f>
        <v>poivre</v>
      </c>
      <c r="J63" s="49">
        <f>E63*$M$18%</f>
        <v>1.8888888888888891</v>
      </c>
      <c r="L63" s="154"/>
      <c r="O63" s="45"/>
      <c r="P63"/>
      <c r="Q63"/>
    </row>
    <row r="64" spans="1:17">
      <c r="A64" s="438">
        <v>7.5</v>
      </c>
      <c r="B64" s="107" t="s">
        <v>108</v>
      </c>
      <c r="C64" s="197" t="s">
        <v>674</v>
      </c>
      <c r="D64" s="51">
        <v>899</v>
      </c>
      <c r="E64" s="49">
        <f>D64/100*A64</f>
        <v>67.424999999999997</v>
      </c>
      <c r="F64" s="169"/>
      <c r="G64" s="128"/>
      <c r="H64" s="55">
        <f>IF(E64=0,A64,A64/E64*J64)</f>
        <v>6.3813813813813818</v>
      </c>
      <c r="I64" s="2" t="str">
        <f>B64</f>
        <v>huile d'olive</v>
      </c>
      <c r="J64" s="49">
        <f>E64*$M$18%</f>
        <v>57.368618618618619</v>
      </c>
      <c r="L64" s="154"/>
      <c r="O64" s="45"/>
      <c r="P64"/>
      <c r="Q64"/>
    </row>
    <row r="65" spans="1:17">
      <c r="A65" s="438">
        <v>50</v>
      </c>
      <c r="B65" s="2" t="s">
        <v>172</v>
      </c>
      <c r="C65" s="196" t="s">
        <v>673</v>
      </c>
      <c r="D65" s="51">
        <v>357</v>
      </c>
      <c r="E65" s="49">
        <f>D65/100*A65</f>
        <v>178.5</v>
      </c>
      <c r="F65" s="169"/>
      <c r="G65" s="128"/>
      <c r="H65" s="55">
        <f>IF(E65=0,A65,A65/E65*J65)</f>
        <v>42.542542542542542</v>
      </c>
      <c r="I65" s="2" t="str">
        <f>B65</f>
        <v>riz</v>
      </c>
      <c r="J65" s="49">
        <f>E65*$M$18%</f>
        <v>151.87687687687688</v>
      </c>
      <c r="L65" s="154"/>
      <c r="O65" s="45"/>
      <c r="P65"/>
      <c r="Q65"/>
    </row>
    <row r="66" spans="1:17">
      <c r="A66" s="42"/>
      <c r="B66" s="157"/>
      <c r="C66" s="214"/>
      <c r="E66" s="130" t="s">
        <v>6</v>
      </c>
      <c r="F66" s="138">
        <f>SUM(E48:E65)</f>
        <v>522.93500000000006</v>
      </c>
      <c r="G66" s="140"/>
      <c r="H66" s="42"/>
      <c r="I66" s="131">
        <f t="shared" si="9"/>
        <v>0</v>
      </c>
      <c r="J66" s="130" t="s">
        <v>6</v>
      </c>
      <c r="K66" s="336">
        <f>SUM(J48:J65)</f>
        <v>444.93968968968966</v>
      </c>
      <c r="L66" s="154"/>
      <c r="O66" s="45"/>
      <c r="Q66"/>
    </row>
    <row r="67" spans="1:17">
      <c r="A67" s="256" t="s">
        <v>177</v>
      </c>
      <c r="B67" s="257"/>
      <c r="C67" s="257"/>
      <c r="D67" s="257"/>
      <c r="E67" s="257"/>
      <c r="F67" s="259"/>
      <c r="G67" s="260"/>
      <c r="H67" s="257"/>
      <c r="I67" s="257"/>
      <c r="J67" s="258"/>
      <c r="L67" s="154"/>
      <c r="O67" s="45"/>
      <c r="Q67"/>
    </row>
    <row r="68" spans="1:17">
      <c r="A68" s="438">
        <v>12</v>
      </c>
      <c r="B68" s="2" t="s">
        <v>178</v>
      </c>
      <c r="C68" s="197" t="s">
        <v>674</v>
      </c>
      <c r="D68" s="51">
        <v>724</v>
      </c>
      <c r="E68" s="49">
        <f t="shared" si="4"/>
        <v>86.88</v>
      </c>
      <c r="F68" s="18"/>
      <c r="G68" s="128"/>
      <c r="H68" s="55">
        <f t="shared" ref="H68:H76" si="11">IF(E68=0,A68,A68/E68*J68)</f>
        <v>10.21021021021021</v>
      </c>
      <c r="I68" s="162" t="str">
        <f t="shared" si="9"/>
        <v>margarine</v>
      </c>
      <c r="J68" s="49">
        <f t="shared" ref="J68:J76" si="12">E68*$M$18%</f>
        <v>73.921921921921921</v>
      </c>
      <c r="L68" s="154"/>
      <c r="O68" s="45"/>
      <c r="P68"/>
      <c r="Q68"/>
    </row>
    <row r="69" spans="1:17">
      <c r="A69" s="438">
        <v>32</v>
      </c>
      <c r="B69" s="2" t="s">
        <v>179</v>
      </c>
      <c r="C69" s="219" t="s">
        <v>673</v>
      </c>
      <c r="D69" s="51">
        <v>344</v>
      </c>
      <c r="E69" s="49">
        <f t="shared" si="4"/>
        <v>110.08</v>
      </c>
      <c r="F69" s="18"/>
      <c r="G69" s="128"/>
      <c r="H69" s="55">
        <f t="shared" si="11"/>
        <v>27.227227227227232</v>
      </c>
      <c r="I69" s="162" t="str">
        <f t="shared" si="9"/>
        <v>farine de blé</v>
      </c>
      <c r="J69" s="153">
        <f t="shared" si="12"/>
        <v>93.661661661661668</v>
      </c>
      <c r="L69" s="154"/>
      <c r="O69" s="45"/>
      <c r="P69"/>
      <c r="Q69"/>
    </row>
    <row r="70" spans="1:17">
      <c r="A70" s="438">
        <v>3</v>
      </c>
      <c r="B70" s="2" t="s">
        <v>241</v>
      </c>
      <c r="C70" s="197" t="s">
        <v>674</v>
      </c>
      <c r="D70" s="51">
        <v>400</v>
      </c>
      <c r="E70" s="49">
        <f t="shared" si="4"/>
        <v>12</v>
      </c>
      <c r="F70" s="18"/>
      <c r="G70" s="128"/>
      <c r="H70" s="55">
        <f t="shared" si="11"/>
        <v>2.5525525525525525</v>
      </c>
      <c r="I70" s="162" t="str">
        <f t="shared" si="9"/>
        <v>sucre blanc</v>
      </c>
      <c r="J70" s="49">
        <f t="shared" si="12"/>
        <v>10.21021021021021</v>
      </c>
      <c r="L70" s="154"/>
      <c r="O70" s="45"/>
      <c r="P70"/>
      <c r="Q70"/>
    </row>
    <row r="71" spans="1:17">
      <c r="A71" s="438">
        <v>32</v>
      </c>
      <c r="B71" s="2" t="s">
        <v>180</v>
      </c>
      <c r="C71" s="185" t="s">
        <v>676</v>
      </c>
      <c r="D71" s="51">
        <v>49</v>
      </c>
      <c r="E71" s="49">
        <f t="shared" si="4"/>
        <v>15.68</v>
      </c>
      <c r="F71" s="18"/>
      <c r="G71" s="128"/>
      <c r="H71" s="55">
        <f t="shared" si="11"/>
        <v>27.227227227227228</v>
      </c>
      <c r="I71" s="162" t="str">
        <f t="shared" si="9"/>
        <v>fruits rouges</v>
      </c>
      <c r="J71" s="49">
        <f t="shared" si="12"/>
        <v>13.341341341341341</v>
      </c>
      <c r="K71" s="275"/>
      <c r="L71" s="154"/>
      <c r="O71" s="45"/>
      <c r="P71"/>
      <c r="Q71"/>
    </row>
    <row r="72" spans="1:17">
      <c r="A72" s="438">
        <v>23</v>
      </c>
      <c r="B72" s="2" t="s">
        <v>181</v>
      </c>
      <c r="C72" s="185" t="s">
        <v>676</v>
      </c>
      <c r="D72" s="2">
        <v>146</v>
      </c>
      <c r="E72" s="49">
        <f t="shared" si="4"/>
        <v>33.58</v>
      </c>
      <c r="F72" s="18"/>
      <c r="G72" s="128"/>
      <c r="H72" s="55">
        <f t="shared" si="11"/>
        <v>19.56956956956957</v>
      </c>
      <c r="I72" s="2" t="str">
        <f t="shared" si="9"/>
        <v>œufs</v>
      </c>
      <c r="J72" s="49">
        <f t="shared" si="12"/>
        <v>28.571571571571571</v>
      </c>
      <c r="K72" s="275"/>
      <c r="L72" s="154"/>
      <c r="O72" s="45"/>
      <c r="P72"/>
      <c r="Q72"/>
    </row>
    <row r="73" spans="1:17">
      <c r="A73" s="438">
        <v>30</v>
      </c>
      <c r="B73" s="2" t="s">
        <v>182</v>
      </c>
      <c r="C73" s="219" t="s">
        <v>673</v>
      </c>
      <c r="D73" s="2">
        <v>158</v>
      </c>
      <c r="E73" s="49">
        <f t="shared" si="4"/>
        <v>47.400000000000006</v>
      </c>
      <c r="F73" s="18"/>
      <c r="G73" s="128"/>
      <c r="H73" s="55">
        <f t="shared" si="11"/>
        <v>25.525525525525524</v>
      </c>
      <c r="I73" s="2" t="str">
        <f t="shared" si="9"/>
        <v>ricotta</v>
      </c>
      <c r="J73" s="49">
        <f t="shared" si="12"/>
        <v>40.330330330330334</v>
      </c>
      <c r="K73" s="275"/>
      <c r="L73" s="154"/>
      <c r="O73" s="45"/>
      <c r="P73"/>
      <c r="Q73"/>
    </row>
    <row r="74" spans="1:17">
      <c r="A74" s="438">
        <v>6</v>
      </c>
      <c r="B74" s="2" t="s">
        <v>185</v>
      </c>
      <c r="C74" s="197" t="s">
        <v>674</v>
      </c>
      <c r="D74" s="2">
        <v>389</v>
      </c>
      <c r="E74" s="49">
        <f t="shared" si="4"/>
        <v>23.34</v>
      </c>
      <c r="F74" s="18"/>
      <c r="G74" s="128"/>
      <c r="H74" s="161">
        <f t="shared" si="11"/>
        <v>5.1051051051051051</v>
      </c>
      <c r="I74" s="2" t="str">
        <f t="shared" si="9"/>
        <v>sucre roux</v>
      </c>
      <c r="J74" s="49">
        <f t="shared" si="12"/>
        <v>19.858858858858859</v>
      </c>
      <c r="K74" s="275"/>
      <c r="L74" s="154"/>
      <c r="O74" s="45"/>
      <c r="P74"/>
      <c r="Q74"/>
    </row>
    <row r="75" spans="1:17">
      <c r="A75" s="438">
        <v>1</v>
      </c>
      <c r="B75" s="2" t="s">
        <v>183</v>
      </c>
      <c r="C75" s="197" t="s">
        <v>674</v>
      </c>
      <c r="D75" s="2">
        <v>400</v>
      </c>
      <c r="E75" s="49">
        <f t="shared" si="4"/>
        <v>4</v>
      </c>
      <c r="F75" s="18"/>
      <c r="G75" s="128"/>
      <c r="H75" s="161">
        <f t="shared" si="11"/>
        <v>0.85085085085085088</v>
      </c>
      <c r="I75" s="168" t="str">
        <f t="shared" si="9"/>
        <v>sucre vanillé</v>
      </c>
      <c r="J75" s="49">
        <f t="shared" si="12"/>
        <v>3.4034034034034035</v>
      </c>
      <c r="K75" s="275"/>
      <c r="L75" s="154"/>
      <c r="O75" s="45"/>
      <c r="P75"/>
      <c r="Q75"/>
    </row>
    <row r="76" spans="1:17">
      <c r="A76" s="438">
        <v>2</v>
      </c>
      <c r="B76" s="2" t="s">
        <v>184</v>
      </c>
      <c r="C76" s="219" t="s">
        <v>673</v>
      </c>
      <c r="D76" s="2">
        <v>353</v>
      </c>
      <c r="E76" s="49">
        <f t="shared" si="4"/>
        <v>7.06</v>
      </c>
      <c r="F76" s="18"/>
      <c r="G76" s="128"/>
      <c r="H76" s="161">
        <f t="shared" si="11"/>
        <v>1.7017017017017018</v>
      </c>
      <c r="I76" s="168" t="str">
        <f t="shared" si="9"/>
        <v>maïzena</v>
      </c>
      <c r="J76" s="49">
        <f t="shared" si="12"/>
        <v>6.0070070070070072</v>
      </c>
      <c r="K76" s="275"/>
      <c r="L76" s="154"/>
      <c r="O76" s="45"/>
      <c r="P76"/>
      <c r="Q76"/>
    </row>
    <row r="77" spans="1:17">
      <c r="A77" s="42"/>
      <c r="B77" s="131"/>
      <c r="C77" s="201"/>
      <c r="E77" s="143" t="s">
        <v>6</v>
      </c>
      <c r="F77" s="171">
        <f>SUM(E68:E76)</f>
        <v>340.02</v>
      </c>
      <c r="G77" s="25"/>
      <c r="H77" s="42"/>
      <c r="I77" s="131"/>
      <c r="J77" s="143" t="s">
        <v>6</v>
      </c>
      <c r="K77" s="336">
        <f>SUM(J68:J76)</f>
        <v>289.30630630630634</v>
      </c>
      <c r="L77" s="154"/>
      <c r="O77" s="45"/>
      <c r="Q77"/>
    </row>
    <row r="78" spans="1:17">
      <c r="A78" s="54">
        <f>IF(D5="non",0,IF(D5="1 verre",125,250))</f>
        <v>0</v>
      </c>
      <c r="B78" s="2" t="str">
        <f>IF(A78=0,"","vin")</f>
        <v/>
      </c>
      <c r="C78" s="203"/>
      <c r="D78" s="51">
        <v>80</v>
      </c>
      <c r="E78" s="49">
        <f>D78/100*A78</f>
        <v>0</v>
      </c>
      <c r="F78" s="136" t="s">
        <v>12</v>
      </c>
      <c r="G78" s="142"/>
      <c r="H78" s="55">
        <f>IF(E78=0,A78,A78/E78*J78)</f>
        <v>0</v>
      </c>
      <c r="I78" s="2" t="str">
        <f>B78</f>
        <v/>
      </c>
      <c r="J78" s="49">
        <f>E78*$M$18%</f>
        <v>0</v>
      </c>
      <c r="L78" s="154"/>
      <c r="O78" s="45"/>
      <c r="P78"/>
      <c r="Q78"/>
    </row>
    <row r="79" spans="1:17" ht="6" customHeight="1">
      <c r="A79" s="17"/>
      <c r="B79" s="17"/>
      <c r="C79" s="209"/>
      <c r="D79" s="68"/>
      <c r="E79" s="17"/>
      <c r="F79" s="18"/>
      <c r="G79" s="43"/>
      <c r="H79" s="17"/>
      <c r="I79" s="17"/>
      <c r="J79" s="17"/>
      <c r="L79" s="154"/>
      <c r="P79"/>
      <c r="Q79"/>
    </row>
    <row r="80" spans="1:17">
      <c r="A80" s="17"/>
      <c r="B80" s="17"/>
      <c r="C80" s="209"/>
      <c r="D80" s="69" t="s">
        <v>129</v>
      </c>
      <c r="F80" s="160">
        <f>SUM(F22:F78)</f>
        <v>1997.9450000000002</v>
      </c>
      <c r="G80" s="130"/>
      <c r="H80" s="17"/>
      <c r="I80" s="69" t="s">
        <v>129</v>
      </c>
      <c r="K80" s="336">
        <f>SUM(K22:K78)</f>
        <v>1699.9532032032034</v>
      </c>
      <c r="L80" s="154"/>
      <c r="P80"/>
      <c r="Q80"/>
    </row>
    <row r="81" spans="1:17">
      <c r="A81" s="17"/>
      <c r="B81" s="17"/>
      <c r="C81" s="209"/>
      <c r="D81" s="18" t="s">
        <v>130</v>
      </c>
      <c r="E81" s="25"/>
      <c r="F81" s="144">
        <f>F80+E78</f>
        <v>1997.9450000000002</v>
      </c>
      <c r="G81" s="43"/>
      <c r="H81" s="42"/>
      <c r="I81" s="18" t="s">
        <v>130</v>
      </c>
      <c r="J81" s="25"/>
      <c r="K81" s="336">
        <f>K80+J78</f>
        <v>1699.9532032032034</v>
      </c>
      <c r="L81" s="154"/>
      <c r="P81"/>
      <c r="Q81"/>
    </row>
    <row r="82" spans="1:17">
      <c r="A82" s="17"/>
      <c r="B82" s="16"/>
      <c r="C82" s="209"/>
      <c r="D82" s="17"/>
      <c r="E82" s="17"/>
      <c r="F82" s="18"/>
      <c r="G82" s="43"/>
      <c r="H82" s="17"/>
      <c r="I82" s="17"/>
      <c r="J82" s="17"/>
      <c r="L82" s="154"/>
      <c r="P82"/>
      <c r="Q82"/>
    </row>
    <row r="83" spans="1:17" ht="19">
      <c r="A83" s="118" t="s">
        <v>100</v>
      </c>
      <c r="B83" s="491" t="s">
        <v>99</v>
      </c>
      <c r="C83" s="491"/>
      <c r="D83" s="17"/>
      <c r="E83" s="17"/>
      <c r="F83" s="18"/>
      <c r="G83" s="18"/>
      <c r="H83" s="17"/>
      <c r="I83" s="17"/>
      <c r="J83" s="17"/>
      <c r="L83" s="154"/>
      <c r="P83"/>
      <c r="Q83"/>
    </row>
    <row r="84" spans="1:17" ht="278" customHeight="1">
      <c r="A84" s="17"/>
      <c r="B84" s="16"/>
      <c r="C84" s="209"/>
      <c r="D84" s="17"/>
      <c r="E84" s="17"/>
      <c r="F84" s="18"/>
      <c r="G84" s="18"/>
      <c r="H84" s="17"/>
      <c r="I84" s="17"/>
      <c r="J84" s="17"/>
      <c r="L84" s="154"/>
      <c r="P84"/>
      <c r="Q84"/>
    </row>
    <row r="85" spans="1:17" ht="278" customHeight="1">
      <c r="A85" s="17"/>
      <c r="B85" s="16"/>
      <c r="C85" s="209"/>
      <c r="D85" s="17"/>
      <c r="E85" s="17"/>
      <c r="F85" s="18"/>
      <c r="G85" s="18"/>
      <c r="H85" s="17"/>
      <c r="I85" s="17"/>
      <c r="J85" s="17"/>
      <c r="L85" s="154"/>
      <c r="P85"/>
      <c r="Q85"/>
    </row>
    <row r="86" spans="1:17" ht="278" customHeight="1">
      <c r="A86" s="17"/>
      <c r="B86" s="16"/>
      <c r="C86" s="209"/>
      <c r="D86" s="17"/>
      <c r="E86" s="17"/>
      <c r="F86" s="18"/>
      <c r="G86" s="18"/>
      <c r="H86" s="17"/>
      <c r="I86" s="17"/>
      <c r="J86" s="17"/>
      <c r="L86" s="154"/>
      <c r="P86"/>
      <c r="Q86"/>
    </row>
    <row r="87" spans="1:17">
      <c r="F87" s="18"/>
      <c r="G87" s="18"/>
      <c r="L87" s="154"/>
    </row>
  </sheetData>
  <sheetProtection password="A5F4" sheet="1" objects="1" scenarios="1" selectLockedCells="1"/>
  <mergeCells count="8">
    <mergeCell ref="B83:C83"/>
    <mergeCell ref="D8:J8"/>
    <mergeCell ref="B15:J15"/>
    <mergeCell ref="A18:A19"/>
    <mergeCell ref="B18:B19"/>
    <mergeCell ref="D18:E18"/>
    <mergeCell ref="H18:H19"/>
    <mergeCell ref="I18:I19"/>
  </mergeCells>
  <dataValidations xWindow="828" yWindow="280" count="3">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Objectif du jour" prompt="Entrez ici l'apport calorique souhaité._x000d_Arrondissez à la centaine inférieure ou supérieure l'estimation obtenue avec le calculateur du feuillet &quot;bilan&quot;." sqref="D7"/>
    <dataValidation allowBlank="1" showErrorMessage="1" promptTitle="Modification des quantités" prompt="Vous pouvez diminuer ou augmenter la quantité,._x000d_Si vous désirez supprimer l'aliment, inscrivez 0 (zéro)." sqref="A1:A1048576"/>
  </dataValidations>
  <hyperlinks>
    <hyperlink ref="B83" location="sommaire!A1" display="RETOUR AU SOMMAIRE"/>
    <hyperlink ref="C83"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828" yWindow="280"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4"/>
  <sheetViews>
    <sheetView workbookViewId="0">
      <selection activeCell="D5" sqref="D5"/>
    </sheetView>
  </sheetViews>
  <sheetFormatPr baseColWidth="10" defaultRowHeight="15" x14ac:dyDescent="0"/>
  <cols>
    <col min="1" max="1" width="6.33203125" customWidth="1"/>
    <col min="2" max="2" width="24.5" style="5" customWidth="1"/>
    <col min="3" max="3" width="3.33203125" style="5" customWidth="1"/>
    <col min="4" max="4" width="8.1640625" customWidth="1"/>
    <col min="5" max="5" width="7.6640625" customWidth="1"/>
    <col min="6" max="6" width="7" style="136" customWidth="1"/>
    <col min="7" max="7" width="3.83203125" style="136" customWidth="1"/>
    <col min="8" max="8" width="6.6640625" customWidth="1"/>
    <col min="9" max="9" width="24.5" customWidth="1"/>
    <col min="10" max="10" width="8.33203125" customWidth="1"/>
    <col min="11" max="11" width="6.6640625" style="228" customWidth="1"/>
    <col min="12" max="12" width="171.5" style="124" customWidth="1"/>
    <col min="13" max="13" width="171.5" style="407" customWidth="1"/>
    <col min="14" max="14" width="3.33203125" style="44" customWidth="1"/>
    <col min="15" max="17" width="10.83203125" style="44"/>
  </cols>
  <sheetData>
    <row r="1" spans="1:17" ht="19">
      <c r="A1" s="207" t="s">
        <v>750</v>
      </c>
      <c r="B1" s="120"/>
      <c r="C1" s="120"/>
      <c r="D1" s="121"/>
      <c r="E1" s="121"/>
      <c r="F1" s="122"/>
      <c r="G1" s="122"/>
      <c r="H1" s="122"/>
      <c r="I1" s="123" t="s">
        <v>101</v>
      </c>
      <c r="J1" s="267" t="s">
        <v>676</v>
      </c>
      <c r="L1" s="154"/>
      <c r="N1"/>
      <c r="O1"/>
      <c r="P1"/>
      <c r="Q1"/>
    </row>
    <row r="2" spans="1:17">
      <c r="A2" s="17"/>
      <c r="B2" s="16" t="s">
        <v>12</v>
      </c>
      <c r="C2" s="16"/>
      <c r="D2" s="17"/>
      <c r="E2" s="17"/>
      <c r="F2" s="18"/>
      <c r="G2" s="18"/>
      <c r="H2" s="17"/>
      <c r="I2" s="17"/>
      <c r="J2" s="17"/>
      <c r="L2" s="154"/>
      <c r="N2"/>
      <c r="O2"/>
      <c r="P2"/>
      <c r="Q2"/>
    </row>
    <row r="3" spans="1:17">
      <c r="A3" s="16" t="s">
        <v>19</v>
      </c>
      <c r="B3" s="16"/>
      <c r="C3" s="16"/>
      <c r="D3" s="15">
        <f>ROUND(F76,0)</f>
        <v>1987</v>
      </c>
      <c r="E3" s="17" t="s">
        <v>9</v>
      </c>
      <c r="F3" s="18"/>
      <c r="G3" s="18"/>
      <c r="H3" s="42"/>
      <c r="I3" s="42"/>
      <c r="J3" s="42"/>
      <c r="L3" s="154"/>
      <c r="N3"/>
      <c r="O3"/>
      <c r="P3"/>
      <c r="Q3"/>
    </row>
    <row r="4" spans="1:17" ht="12" customHeight="1">
      <c r="A4" s="24" t="s">
        <v>26</v>
      </c>
      <c r="B4" s="16"/>
      <c r="C4" s="16"/>
      <c r="D4" s="19"/>
      <c r="E4" s="17"/>
      <c r="F4" s="18"/>
      <c r="G4" s="18"/>
      <c r="H4" s="17"/>
      <c r="I4" s="17"/>
      <c r="J4" s="17"/>
      <c r="L4" s="154"/>
      <c r="N4"/>
      <c r="O4"/>
      <c r="P4"/>
      <c r="Q4"/>
    </row>
    <row r="5" spans="1:17">
      <c r="A5" s="16" t="s">
        <v>29</v>
      </c>
      <c r="B5" s="16"/>
      <c r="C5" s="20" t="s">
        <v>25</v>
      </c>
      <c r="D5" s="436" t="s">
        <v>10</v>
      </c>
      <c r="E5" s="17" t="str">
        <f>IF(D5="non","",IF(D5=1,d!B22,d!B23))</f>
        <v/>
      </c>
      <c r="F5" s="18"/>
      <c r="G5" s="18"/>
      <c r="H5" s="17"/>
      <c r="I5" s="17"/>
      <c r="J5" s="17"/>
      <c r="L5" s="154"/>
      <c r="N5"/>
      <c r="O5"/>
      <c r="P5"/>
      <c r="Q5"/>
    </row>
    <row r="6" spans="1:17">
      <c r="A6" s="16" t="s">
        <v>18</v>
      </c>
      <c r="B6" s="16"/>
      <c r="C6" s="16"/>
      <c r="D6" s="437">
        <v>0</v>
      </c>
      <c r="E6" s="17" t="s">
        <v>9</v>
      </c>
      <c r="F6" s="98"/>
      <c r="G6" s="414" t="s">
        <v>100</v>
      </c>
      <c r="H6" s="415" t="s">
        <v>33</v>
      </c>
      <c r="I6" s="17"/>
      <c r="J6" s="17"/>
      <c r="L6" s="154"/>
      <c r="N6"/>
      <c r="O6"/>
      <c r="P6"/>
      <c r="Q6"/>
    </row>
    <row r="7" spans="1:17">
      <c r="A7" s="21" t="s">
        <v>35</v>
      </c>
      <c r="B7" s="16"/>
      <c r="C7" s="20"/>
      <c r="D7" s="74">
        <f>jour_1!D7</f>
        <v>1700</v>
      </c>
      <c r="E7" s="17" t="s">
        <v>9</v>
      </c>
      <c r="F7" s="18"/>
      <c r="G7" s="416"/>
      <c r="H7" s="417" t="s">
        <v>816</v>
      </c>
      <c r="I7" s="17"/>
      <c r="J7" s="17"/>
      <c r="L7" s="154"/>
      <c r="N7"/>
      <c r="O7"/>
      <c r="P7"/>
      <c r="Q7"/>
    </row>
    <row r="8" spans="1:17" ht="45" customHeight="1">
      <c r="A8" s="17"/>
      <c r="B8" s="16"/>
      <c r="C8" s="16"/>
      <c r="D8" s="480" t="str">
        <f>IF(D5="non","",d!A24)</f>
        <v/>
      </c>
      <c r="E8" s="480"/>
      <c r="F8" s="480"/>
      <c r="G8" s="480"/>
      <c r="H8" s="480"/>
      <c r="I8" s="480"/>
      <c r="J8" s="480"/>
      <c r="K8" s="334"/>
      <c r="L8" s="155"/>
      <c r="N8"/>
      <c r="O8"/>
      <c r="P8"/>
      <c r="Q8"/>
    </row>
    <row r="9" spans="1:17" ht="6" customHeight="1">
      <c r="A9" s="17"/>
      <c r="B9" s="16"/>
      <c r="C9" s="16"/>
      <c r="D9" s="18"/>
      <c r="E9" s="17"/>
      <c r="F9" s="18"/>
      <c r="G9" s="18"/>
      <c r="H9" s="17"/>
      <c r="I9" s="17"/>
      <c r="J9" s="17"/>
      <c r="L9" s="154"/>
      <c r="N9"/>
      <c r="O9"/>
      <c r="P9"/>
      <c r="Q9"/>
    </row>
    <row r="10" spans="1:17">
      <c r="A10" s="17"/>
      <c r="B10" s="26" t="s">
        <v>14</v>
      </c>
      <c r="C10" s="27"/>
      <c r="D10" s="28"/>
      <c r="E10" s="28"/>
      <c r="F10" s="133"/>
      <c r="G10" s="133"/>
      <c r="H10" s="28"/>
      <c r="I10" s="28"/>
      <c r="J10" s="29"/>
      <c r="L10" s="154"/>
      <c r="N10"/>
      <c r="O10"/>
      <c r="P10"/>
      <c r="Q10"/>
    </row>
    <row r="11" spans="1:17">
      <c r="A11" s="17"/>
      <c r="B11" s="30" t="s">
        <v>15</v>
      </c>
      <c r="C11" s="31"/>
      <c r="D11" s="15">
        <f>D7+D6</f>
        <v>1700</v>
      </c>
      <c r="E11" s="32" t="s">
        <v>7</v>
      </c>
      <c r="F11" s="31"/>
      <c r="G11" s="31"/>
      <c r="H11" s="33"/>
      <c r="I11" s="33"/>
      <c r="J11" s="34"/>
      <c r="L11" s="154"/>
      <c r="N11"/>
      <c r="O11"/>
      <c r="P11"/>
      <c r="Q11"/>
    </row>
    <row r="12" spans="1:17">
      <c r="A12" s="17"/>
      <c r="B12" s="30" t="s">
        <v>16</v>
      </c>
      <c r="C12" s="31"/>
      <c r="D12" s="23">
        <f>ABS(M13)</f>
        <v>287</v>
      </c>
      <c r="E12" s="32" t="s">
        <v>7</v>
      </c>
      <c r="F12" s="32" t="str">
        <f>IF(M13&gt;0,d!A44,d!A45)</f>
        <v>de moins que les menus Pan Metron du jour</v>
      </c>
      <c r="G12" s="31"/>
      <c r="H12" s="33"/>
      <c r="I12" s="33"/>
      <c r="J12" s="34"/>
      <c r="L12" s="154"/>
      <c r="M12" s="407" t="s">
        <v>132</v>
      </c>
      <c r="N12"/>
      <c r="O12"/>
      <c r="P12"/>
      <c r="Q12"/>
    </row>
    <row r="13" spans="1:17" ht="13" customHeight="1">
      <c r="A13" s="24"/>
      <c r="B13" s="35"/>
      <c r="C13" s="36"/>
      <c r="D13" s="37"/>
      <c r="E13" s="1"/>
      <c r="F13" s="38" t="str">
        <f>IF(D5="non","",d!A46)</f>
        <v/>
      </c>
      <c r="G13" s="39"/>
      <c r="H13" s="38"/>
      <c r="I13" s="38"/>
      <c r="J13" s="40"/>
      <c r="L13" s="154"/>
      <c r="M13" s="408">
        <f>D3+E74-D11</f>
        <v>287</v>
      </c>
      <c r="N13"/>
      <c r="O13"/>
      <c r="P13"/>
      <c r="Q13"/>
    </row>
    <row r="14" spans="1:17" ht="8" customHeight="1">
      <c r="A14" s="24"/>
      <c r="B14" s="41"/>
      <c r="C14" s="41"/>
      <c r="D14" s="19"/>
      <c r="E14" s="42"/>
      <c r="F14" s="43"/>
      <c r="G14" s="43"/>
      <c r="H14" s="42"/>
      <c r="I14" s="42"/>
      <c r="J14" s="42"/>
      <c r="L14" s="154"/>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156"/>
      <c r="M15" s="409"/>
      <c r="N15"/>
      <c r="O15"/>
      <c r="P15"/>
      <c r="Q15"/>
    </row>
    <row r="16" spans="1:17" ht="12" customHeight="1">
      <c r="A16" s="17"/>
      <c r="B16" s="22"/>
      <c r="C16" s="22"/>
      <c r="D16" s="22"/>
      <c r="E16" s="22"/>
      <c r="F16" s="134"/>
      <c r="G16" s="134"/>
      <c r="H16" s="22"/>
      <c r="I16" s="22"/>
      <c r="J16" s="22"/>
      <c r="K16" s="22"/>
      <c r="L16" s="156"/>
      <c r="N16"/>
      <c r="O16"/>
      <c r="P16"/>
      <c r="Q16"/>
    </row>
    <row r="17" spans="1:17">
      <c r="A17" s="216" t="s">
        <v>242</v>
      </c>
      <c r="B17" s="16"/>
      <c r="C17" s="209"/>
      <c r="D17" s="17"/>
      <c r="E17" s="17"/>
      <c r="F17" s="18"/>
      <c r="G17" s="43"/>
      <c r="H17" s="17"/>
      <c r="I17" s="17"/>
      <c r="J17" s="17"/>
      <c r="L17" s="154"/>
      <c r="P17"/>
      <c r="Q17"/>
    </row>
    <row r="18" spans="1:17" ht="17" customHeight="1">
      <c r="A18" s="60" t="s">
        <v>24</v>
      </c>
      <c r="B18" s="61"/>
      <c r="C18" s="61"/>
      <c r="D18" s="61"/>
      <c r="E18" s="62"/>
      <c r="F18" s="134"/>
      <c r="G18" s="141"/>
      <c r="H18" s="57" t="s">
        <v>36</v>
      </c>
      <c r="I18" s="58"/>
      <c r="J18" s="59"/>
      <c r="K18" s="22"/>
      <c r="L18" s="156"/>
      <c r="M18" s="269" t="s">
        <v>8</v>
      </c>
      <c r="O18" s="148"/>
      <c r="Q18"/>
    </row>
    <row r="19" spans="1:17">
      <c r="A19" s="485" t="s">
        <v>11</v>
      </c>
      <c r="B19" s="483" t="s">
        <v>227</v>
      </c>
      <c r="C19" s="126"/>
      <c r="D19" s="481" t="s">
        <v>7</v>
      </c>
      <c r="E19" s="482"/>
      <c r="F19" s="18"/>
      <c r="G19" s="43"/>
      <c r="H19" s="487" t="str">
        <f>A19</f>
        <v>g/cl</v>
      </c>
      <c r="I19" s="483" t="s">
        <v>227</v>
      </c>
      <c r="J19" s="70" t="s">
        <v>7</v>
      </c>
      <c r="L19" s="154"/>
      <c r="M19" s="411">
        <f>100-(D12/((D11+D12)/100))</f>
        <v>85.556114745848021</v>
      </c>
      <c r="Q19"/>
    </row>
    <row r="20" spans="1:17" ht="12" customHeight="1">
      <c r="A20" s="486"/>
      <c r="B20" s="484"/>
      <c r="C20" s="127"/>
      <c r="D20" s="72" t="s">
        <v>22</v>
      </c>
      <c r="E20" s="73" t="s">
        <v>23</v>
      </c>
      <c r="F20" s="18"/>
      <c r="G20" s="43"/>
      <c r="H20" s="488"/>
      <c r="I20" s="484"/>
      <c r="J20" s="71" t="s">
        <v>23</v>
      </c>
      <c r="L20" s="154"/>
      <c r="M20" s="269"/>
      <c r="Q20"/>
    </row>
    <row r="21" spans="1:17" s="167" customFormat="1">
      <c r="A21" s="438">
        <v>30</v>
      </c>
      <c r="B21" s="2" t="s">
        <v>102</v>
      </c>
      <c r="C21" s="196" t="s">
        <v>229</v>
      </c>
      <c r="D21" s="51">
        <v>229</v>
      </c>
      <c r="E21" s="164">
        <f t="shared" ref="E21:E28" si="0">D21/100*A21</f>
        <v>68.7</v>
      </c>
      <c r="F21" s="165"/>
      <c r="G21" s="166"/>
      <c r="H21" s="55">
        <f>IF(E21=0,A21,A21/E21*J21)</f>
        <v>25.666834423754405</v>
      </c>
      <c r="I21" s="2" t="str">
        <f t="shared" ref="I21:I25" si="1">B21</f>
        <v>pain complet</v>
      </c>
      <c r="J21" s="49">
        <f>E21*$M$19%</f>
        <v>58.777050830397592</v>
      </c>
      <c r="K21" s="228"/>
      <c r="L21" s="154"/>
      <c r="M21" s="407"/>
      <c r="N21" s="44"/>
      <c r="O21" s="44"/>
      <c r="P21" s="44"/>
    </row>
    <row r="22" spans="1:17">
      <c r="A22" s="438">
        <v>5</v>
      </c>
      <c r="B22" s="2" t="s">
        <v>0</v>
      </c>
      <c r="C22" s="197" t="s">
        <v>230</v>
      </c>
      <c r="D22" s="51">
        <v>747.3</v>
      </c>
      <c r="E22" s="49">
        <f t="shared" si="0"/>
        <v>37.365000000000002</v>
      </c>
      <c r="F22" s="18"/>
      <c r="G22" s="43"/>
      <c r="H22" s="55">
        <f>IF(E22=0,A22,A22/E22*J22)</f>
        <v>4.2778057372924012</v>
      </c>
      <c r="I22" s="2" t="str">
        <f t="shared" si="1"/>
        <v>beurre</v>
      </c>
      <c r="J22" s="49">
        <f>E22*$M$19%</f>
        <v>31.968042274786114</v>
      </c>
      <c r="L22" s="154"/>
      <c r="O22" s="45"/>
      <c r="Q22"/>
    </row>
    <row r="23" spans="1:17">
      <c r="A23" s="438">
        <v>10</v>
      </c>
      <c r="B23" s="2" t="s">
        <v>3</v>
      </c>
      <c r="C23" s="197" t="s">
        <v>230</v>
      </c>
      <c r="D23" s="51">
        <v>246</v>
      </c>
      <c r="E23" s="49">
        <f t="shared" si="0"/>
        <v>24.6</v>
      </c>
      <c r="F23" s="18"/>
      <c r="G23" s="43"/>
      <c r="H23" s="55">
        <f>IF(E23=0,A23,A23/E23*J23)</f>
        <v>8.5556114745848024</v>
      </c>
      <c r="I23" s="2" t="str">
        <f t="shared" si="1"/>
        <v>confiture</v>
      </c>
      <c r="J23" s="49">
        <f>E23*$M$19%</f>
        <v>21.046804227478614</v>
      </c>
      <c r="L23" s="154"/>
      <c r="O23" s="45"/>
      <c r="Q23"/>
    </row>
    <row r="24" spans="1:17">
      <c r="A24" s="438">
        <v>150</v>
      </c>
      <c r="B24" s="2" t="s">
        <v>1</v>
      </c>
      <c r="C24" s="198"/>
      <c r="D24" s="51">
        <v>0</v>
      </c>
      <c r="E24" s="49">
        <f t="shared" si="0"/>
        <v>0</v>
      </c>
      <c r="F24" s="18"/>
      <c r="G24" s="43"/>
      <c r="H24" s="55">
        <f>IF(E24=0,A24,A24/E24*J24)</f>
        <v>150</v>
      </c>
      <c r="I24" s="2" t="str">
        <f t="shared" si="1"/>
        <v>café</v>
      </c>
      <c r="J24" s="49">
        <f>E24*$M$19%</f>
        <v>0</v>
      </c>
      <c r="L24" s="154"/>
      <c r="O24" s="45"/>
      <c r="Q24"/>
    </row>
    <row r="25" spans="1:17">
      <c r="A25" s="438">
        <v>4</v>
      </c>
      <c r="B25" s="2" t="s">
        <v>2</v>
      </c>
      <c r="C25" s="197" t="s">
        <v>230</v>
      </c>
      <c r="D25" s="51">
        <v>400</v>
      </c>
      <c r="E25" s="49">
        <f t="shared" si="0"/>
        <v>16</v>
      </c>
      <c r="F25" s="18"/>
      <c r="G25" s="43"/>
      <c r="H25" s="55">
        <f>IF(E25=0,A25,A25/E25*J25)</f>
        <v>3.4222445898339209</v>
      </c>
      <c r="I25" s="2" t="str">
        <f t="shared" si="1"/>
        <v>sucre</v>
      </c>
      <c r="J25" s="49">
        <f>E25*$M$19%</f>
        <v>13.688978359335684</v>
      </c>
      <c r="L25" s="154"/>
      <c r="O25" s="45"/>
      <c r="Q25"/>
    </row>
    <row r="26" spans="1:17">
      <c r="A26" s="438">
        <v>12</v>
      </c>
      <c r="B26" s="2" t="s">
        <v>5</v>
      </c>
      <c r="C26" s="196" t="s">
        <v>229</v>
      </c>
      <c r="D26" s="51">
        <v>161</v>
      </c>
      <c r="E26" s="49">
        <f t="shared" si="0"/>
        <v>19.32</v>
      </c>
      <c r="F26" s="18"/>
      <c r="G26" s="43"/>
      <c r="H26" s="55">
        <f t="shared" ref="H26:H28" si="2">IF(E26=0,A26,A26/E26*J26)</f>
        <v>10.266733769501762</v>
      </c>
      <c r="I26" s="2" t="str">
        <f t="shared" ref="I26:I28" si="3">B26</f>
        <v>crème à café</v>
      </c>
      <c r="J26" s="49">
        <f t="shared" ref="J26:J28" si="4">E26*$M$19%</f>
        <v>16.529441368897839</v>
      </c>
      <c r="L26" s="154"/>
      <c r="O26" s="45"/>
      <c r="Q26"/>
    </row>
    <row r="27" spans="1:17">
      <c r="A27" s="438">
        <v>125</v>
      </c>
      <c r="B27" s="2" t="s">
        <v>123</v>
      </c>
      <c r="C27" s="199" t="s">
        <v>231</v>
      </c>
      <c r="D27" s="51">
        <v>87</v>
      </c>
      <c r="E27" s="49">
        <f t="shared" si="0"/>
        <v>108.75</v>
      </c>
      <c r="F27" s="18"/>
      <c r="G27" s="43"/>
      <c r="H27" s="55">
        <f t="shared" si="2"/>
        <v>106.94514343231003</v>
      </c>
      <c r="I27" s="2" t="str">
        <f t="shared" si="3"/>
        <v>yogourt aux fruits</v>
      </c>
      <c r="J27" s="49">
        <f t="shared" si="4"/>
        <v>93.042274786109729</v>
      </c>
      <c r="L27" s="154"/>
      <c r="O27" s="45"/>
      <c r="Q27"/>
    </row>
    <row r="28" spans="1:17">
      <c r="A28" s="438">
        <v>150</v>
      </c>
      <c r="B28" s="2" t="s">
        <v>103</v>
      </c>
      <c r="C28" s="199" t="s">
        <v>231</v>
      </c>
      <c r="D28" s="51">
        <v>45</v>
      </c>
      <c r="E28" s="49">
        <f t="shared" si="0"/>
        <v>67.5</v>
      </c>
      <c r="F28" s="18"/>
      <c r="G28" s="43"/>
      <c r="H28" s="55">
        <f t="shared" si="2"/>
        <v>128.33417211877205</v>
      </c>
      <c r="I28" s="2" t="str">
        <f t="shared" si="3"/>
        <v>jus d'orange maison</v>
      </c>
      <c r="J28" s="49">
        <f t="shared" si="4"/>
        <v>57.750377453447413</v>
      </c>
      <c r="L28" s="154"/>
      <c r="O28" s="45"/>
      <c r="Q28"/>
    </row>
    <row r="29" spans="1:17">
      <c r="A29" s="17"/>
      <c r="B29" s="17"/>
      <c r="C29" s="17"/>
      <c r="D29" s="68"/>
      <c r="E29" s="17"/>
      <c r="F29" s="175">
        <f>SUM(E21:E28)</f>
        <v>342.23500000000001</v>
      </c>
      <c r="G29" s="128"/>
      <c r="H29" s="42"/>
      <c r="I29" s="131"/>
      <c r="J29" s="130" t="s">
        <v>6</v>
      </c>
      <c r="K29" s="336">
        <f>SUM(J21:J28)</f>
        <v>292.80296930045301</v>
      </c>
      <c r="L29" s="154"/>
      <c r="O29" s="45"/>
      <c r="Q29"/>
    </row>
    <row r="30" spans="1:17">
      <c r="A30" s="216" t="s">
        <v>225</v>
      </c>
      <c r="B30" s="16"/>
      <c r="C30" s="209"/>
      <c r="D30" s="17"/>
      <c r="E30" s="17"/>
      <c r="F30" s="18"/>
      <c r="G30" s="43"/>
      <c r="H30" s="17"/>
      <c r="I30" s="17"/>
      <c r="J30" s="17"/>
      <c r="L30" s="154"/>
      <c r="P30"/>
      <c r="Q30"/>
    </row>
    <row r="31" spans="1:17">
      <c r="A31" s="256" t="s">
        <v>245</v>
      </c>
      <c r="B31" s="257"/>
      <c r="C31" s="257"/>
      <c r="D31" s="257"/>
      <c r="E31" s="257"/>
      <c r="F31" s="257"/>
      <c r="G31" s="257"/>
      <c r="H31" s="257"/>
      <c r="I31" s="257"/>
      <c r="J31" s="258"/>
      <c r="L31" s="154"/>
      <c r="O31" s="45"/>
      <c r="Q31"/>
    </row>
    <row r="32" spans="1:17">
      <c r="A32" s="438">
        <v>125</v>
      </c>
      <c r="B32" s="107" t="s">
        <v>189</v>
      </c>
      <c r="C32" s="185" t="s">
        <v>233</v>
      </c>
      <c r="D32" s="51">
        <v>76</v>
      </c>
      <c r="E32" s="49">
        <f t="shared" ref="E32:E72" si="5">D32/100*A32</f>
        <v>95</v>
      </c>
      <c r="F32" s="18"/>
      <c r="G32" s="43"/>
      <c r="H32" s="55">
        <f t="shared" ref="H32:H42" si="6">IF(E32=0,A32,A32/E32*J32)</f>
        <v>106.94514343231003</v>
      </c>
      <c r="I32" s="2" t="str">
        <f t="shared" ref="I32:I45" si="7">B32</f>
        <v>pommes de terre</v>
      </c>
      <c r="J32" s="49">
        <f t="shared" ref="J32:J42" si="8">E32*$M$19%</f>
        <v>81.278309008555624</v>
      </c>
      <c r="L32" s="154"/>
      <c r="M32" s="412"/>
      <c r="O32" s="45"/>
      <c r="Q32"/>
    </row>
    <row r="33" spans="1:17">
      <c r="A33" s="438">
        <v>60</v>
      </c>
      <c r="B33" s="2" t="s">
        <v>161</v>
      </c>
      <c r="C33" s="196" t="s">
        <v>229</v>
      </c>
      <c r="D33" s="51">
        <v>125</v>
      </c>
      <c r="E33" s="49">
        <f t="shared" si="5"/>
        <v>75</v>
      </c>
      <c r="F33" s="18"/>
      <c r="G33" s="43"/>
      <c r="H33" s="55">
        <f t="shared" si="6"/>
        <v>51.333668847508818</v>
      </c>
      <c r="I33" s="2" t="str">
        <f t="shared" si="7"/>
        <v>jambon</v>
      </c>
      <c r="J33" s="49">
        <f t="shared" si="8"/>
        <v>64.167086059386023</v>
      </c>
      <c r="L33" s="154"/>
      <c r="M33" s="412"/>
      <c r="O33" s="45"/>
      <c r="Q33"/>
    </row>
    <row r="34" spans="1:17">
      <c r="A34" s="438">
        <v>37.5</v>
      </c>
      <c r="B34" s="2" t="s">
        <v>118</v>
      </c>
      <c r="C34" s="196" t="s">
        <v>229</v>
      </c>
      <c r="D34" s="51">
        <v>338</v>
      </c>
      <c r="E34" s="49">
        <f t="shared" si="5"/>
        <v>126.75</v>
      </c>
      <c r="F34" s="18"/>
      <c r="G34" s="43"/>
      <c r="H34" s="55">
        <f t="shared" si="6"/>
        <v>32.083543029693011</v>
      </c>
      <c r="I34" s="2" t="str">
        <f t="shared" si="7"/>
        <v>farine</v>
      </c>
      <c r="J34" s="49">
        <f t="shared" si="8"/>
        <v>108.44237544036237</v>
      </c>
      <c r="L34" s="154"/>
      <c r="M34" s="412"/>
      <c r="O34" s="45"/>
      <c r="Q34"/>
    </row>
    <row r="35" spans="1:17">
      <c r="A35" s="438">
        <v>30</v>
      </c>
      <c r="B35" s="2" t="s">
        <v>181</v>
      </c>
      <c r="C35" s="185" t="s">
        <v>233</v>
      </c>
      <c r="D35" s="51">
        <v>146</v>
      </c>
      <c r="E35" s="49">
        <f t="shared" si="5"/>
        <v>43.8</v>
      </c>
      <c r="F35" s="68"/>
      <c r="G35" s="128"/>
      <c r="H35" s="55">
        <f t="shared" si="6"/>
        <v>25.666834423754405</v>
      </c>
      <c r="I35" s="2" t="str">
        <f t="shared" si="7"/>
        <v>œufs</v>
      </c>
      <c r="J35" s="49">
        <f t="shared" si="8"/>
        <v>37.473578258681428</v>
      </c>
      <c r="L35" s="154"/>
      <c r="M35" s="412"/>
      <c r="O35" s="45"/>
      <c r="Q35"/>
    </row>
    <row r="36" spans="1:17">
      <c r="A36" s="438">
        <v>12.5</v>
      </c>
      <c r="B36" s="2" t="s">
        <v>190</v>
      </c>
      <c r="C36" s="184" t="s">
        <v>232</v>
      </c>
      <c r="D36" s="51">
        <v>391</v>
      </c>
      <c r="E36" s="49">
        <f t="shared" si="5"/>
        <v>48.875</v>
      </c>
      <c r="F36" s="68"/>
      <c r="G36" s="128"/>
      <c r="H36" s="55">
        <f t="shared" si="6"/>
        <v>10.694514343231004</v>
      </c>
      <c r="I36" s="2" t="str">
        <f t="shared" si="7"/>
        <v>parmesan</v>
      </c>
      <c r="J36" s="49">
        <f t="shared" si="8"/>
        <v>41.815551082033224</v>
      </c>
      <c r="L36" s="154"/>
      <c r="M36" s="412"/>
      <c r="O36" s="45"/>
      <c r="Q36"/>
    </row>
    <row r="37" spans="1:17">
      <c r="A37" s="438">
        <v>6</v>
      </c>
      <c r="B37" s="107" t="s">
        <v>108</v>
      </c>
      <c r="C37" s="197" t="s">
        <v>230</v>
      </c>
      <c r="D37" s="51">
        <v>899</v>
      </c>
      <c r="E37" s="49">
        <f t="shared" si="5"/>
        <v>53.94</v>
      </c>
      <c r="F37" s="68"/>
      <c r="G37" s="128"/>
      <c r="H37" s="55">
        <f t="shared" si="6"/>
        <v>5.1333668847508811</v>
      </c>
      <c r="I37" s="2" t="str">
        <f t="shared" si="7"/>
        <v>huile d'olive</v>
      </c>
      <c r="J37" s="49">
        <f t="shared" si="8"/>
        <v>46.148968293910421</v>
      </c>
      <c r="L37" s="154"/>
      <c r="M37" s="412"/>
      <c r="O37" s="45"/>
      <c r="Q37"/>
    </row>
    <row r="38" spans="1:17">
      <c r="A38" s="438">
        <v>5</v>
      </c>
      <c r="B38" s="107" t="s">
        <v>191</v>
      </c>
      <c r="C38" s="185" t="s">
        <v>233</v>
      </c>
      <c r="D38" s="51">
        <v>28</v>
      </c>
      <c r="E38" s="49">
        <f t="shared" si="5"/>
        <v>1.4000000000000001</v>
      </c>
      <c r="F38" s="68"/>
      <c r="G38" s="128"/>
      <c r="H38" s="55">
        <f t="shared" si="6"/>
        <v>4.2778057372924012</v>
      </c>
      <c r="I38" s="2" t="str">
        <f t="shared" si="7"/>
        <v>persil plat</v>
      </c>
      <c r="J38" s="49">
        <f t="shared" si="8"/>
        <v>1.1977856064418724</v>
      </c>
      <c r="L38" s="154"/>
      <c r="M38" s="412"/>
      <c r="O38" s="45"/>
      <c r="Q38"/>
    </row>
    <row r="39" spans="1:17">
      <c r="A39" s="438">
        <v>0.5</v>
      </c>
      <c r="B39" s="2" t="s">
        <v>109</v>
      </c>
      <c r="C39" s="197" t="s">
        <v>230</v>
      </c>
      <c r="D39" s="51">
        <v>0</v>
      </c>
      <c r="E39" s="49">
        <f t="shared" si="5"/>
        <v>0</v>
      </c>
      <c r="F39" s="68"/>
      <c r="G39" s="128"/>
      <c r="H39" s="55">
        <f t="shared" si="6"/>
        <v>0.5</v>
      </c>
      <c r="I39" s="2" t="str">
        <f t="shared" si="7"/>
        <v>sel</v>
      </c>
      <c r="J39" s="49">
        <f t="shared" si="8"/>
        <v>0</v>
      </c>
      <c r="L39" s="154"/>
      <c r="M39" s="412"/>
      <c r="O39" s="45"/>
      <c r="Q39"/>
    </row>
    <row r="40" spans="1:17">
      <c r="A40" s="438">
        <v>0.5</v>
      </c>
      <c r="B40" s="2" t="s">
        <v>116</v>
      </c>
      <c r="C40" s="183" t="s">
        <v>231</v>
      </c>
      <c r="D40" s="51">
        <v>222</v>
      </c>
      <c r="E40" s="49">
        <f t="shared" si="5"/>
        <v>1.1100000000000001</v>
      </c>
      <c r="F40" s="68"/>
      <c r="G40" s="128"/>
      <c r="H40" s="55">
        <f t="shared" si="6"/>
        <v>0.42778057372924011</v>
      </c>
      <c r="I40" s="2" t="str">
        <f t="shared" si="7"/>
        <v>poivre</v>
      </c>
      <c r="J40" s="49">
        <f t="shared" si="8"/>
        <v>0.94967287367891318</v>
      </c>
      <c r="L40" s="154"/>
      <c r="M40" s="412"/>
      <c r="O40" s="45"/>
      <c r="Q40"/>
    </row>
    <row r="41" spans="1:17">
      <c r="A41" s="438">
        <v>80</v>
      </c>
      <c r="B41" s="2" t="s">
        <v>192</v>
      </c>
      <c r="C41" s="185" t="s">
        <v>233</v>
      </c>
      <c r="D41" s="51">
        <v>68</v>
      </c>
      <c r="E41" s="49">
        <f t="shared" si="5"/>
        <v>54.400000000000006</v>
      </c>
      <c r="F41" s="68"/>
      <c r="G41" s="128"/>
      <c r="H41" s="55">
        <f t="shared" si="6"/>
        <v>68.444891796678419</v>
      </c>
      <c r="I41" s="2" t="str">
        <f t="shared" si="7"/>
        <v>saladade de crudités</v>
      </c>
      <c r="J41" s="49">
        <f t="shared" si="8"/>
        <v>46.542526421741329</v>
      </c>
      <c r="L41" s="154"/>
      <c r="M41" s="412"/>
      <c r="O41" s="45"/>
      <c r="Q41"/>
    </row>
    <row r="42" spans="1:17">
      <c r="A42" s="438">
        <v>12</v>
      </c>
      <c r="B42" s="107" t="s">
        <v>247</v>
      </c>
      <c r="C42" s="183" t="s">
        <v>231</v>
      </c>
      <c r="D42" s="51">
        <v>68</v>
      </c>
      <c r="E42" s="49">
        <f t="shared" si="5"/>
        <v>8.16</v>
      </c>
      <c r="F42" s="68"/>
      <c r="G42" s="128"/>
      <c r="H42" s="55">
        <f t="shared" si="6"/>
        <v>10.266733769501762</v>
      </c>
      <c r="I42" s="2" t="str">
        <f t="shared" si="7"/>
        <v>sauce salade au yogourt</v>
      </c>
      <c r="J42" s="49">
        <f t="shared" si="8"/>
        <v>6.9813789632611991</v>
      </c>
      <c r="K42" s="241"/>
      <c r="L42" s="154"/>
      <c r="M42" s="412"/>
      <c r="O42" s="45"/>
      <c r="Q42"/>
    </row>
    <row r="43" spans="1:17">
      <c r="A43" s="66" t="s">
        <v>127</v>
      </c>
      <c r="B43" s="63"/>
      <c r="C43" s="202"/>
      <c r="D43" s="63"/>
      <c r="E43" s="64"/>
      <c r="F43" s="18"/>
      <c r="G43" s="43"/>
      <c r="H43" s="65"/>
      <c r="I43" s="63"/>
      <c r="J43" s="67"/>
      <c r="L43" s="154"/>
      <c r="O43" s="45"/>
      <c r="Q43"/>
    </row>
    <row r="44" spans="1:17">
      <c r="A44" s="438">
        <v>140</v>
      </c>
      <c r="B44" s="2" t="s">
        <v>254</v>
      </c>
      <c r="C44" s="185" t="s">
        <v>233</v>
      </c>
      <c r="D44" s="51">
        <v>32</v>
      </c>
      <c r="E44" s="49">
        <f>D44/100*A44</f>
        <v>44.800000000000004</v>
      </c>
      <c r="F44" s="18"/>
      <c r="G44" s="43"/>
      <c r="H44" s="55">
        <f>IF(E44=0,A44,A44/E44*J44)</f>
        <v>119.77856064418722</v>
      </c>
      <c r="I44" s="56" t="str">
        <f t="shared" si="7"/>
        <v>pamplemousse rose</v>
      </c>
      <c r="J44" s="49">
        <f>E44*$M$19%</f>
        <v>38.329139406139916</v>
      </c>
      <c r="L44" s="154"/>
      <c r="O44" s="45"/>
      <c r="P44"/>
      <c r="Q44"/>
    </row>
    <row r="45" spans="1:17">
      <c r="A45" s="438">
        <v>8</v>
      </c>
      <c r="B45" s="2" t="s">
        <v>2</v>
      </c>
      <c r="C45" s="197" t="s">
        <v>230</v>
      </c>
      <c r="D45" s="51">
        <v>400</v>
      </c>
      <c r="E45" s="49">
        <f>D45/100*A45</f>
        <v>32</v>
      </c>
      <c r="F45" s="68"/>
      <c r="G45" s="128"/>
      <c r="H45" s="55">
        <f>IF(E45=0,A45,A45/E45*J45)</f>
        <v>6.8444891796678418</v>
      </c>
      <c r="I45" s="2" t="str">
        <f t="shared" si="7"/>
        <v>sucre</v>
      </c>
      <c r="J45" s="49">
        <f>E45*$M$19%</f>
        <v>27.377956718671367</v>
      </c>
      <c r="L45" s="154"/>
      <c r="O45" s="45"/>
      <c r="Q45"/>
    </row>
    <row r="46" spans="1:17">
      <c r="A46" s="42"/>
      <c r="B46" s="131"/>
      <c r="C46" s="132"/>
      <c r="E46" s="130" t="s">
        <v>6</v>
      </c>
      <c r="F46" s="138">
        <f>SUM(E32:E45)</f>
        <v>585.23500000000001</v>
      </c>
      <c r="G46" s="43"/>
      <c r="H46" s="42"/>
      <c r="I46" s="131"/>
      <c r="J46" s="130" t="s">
        <v>6</v>
      </c>
      <c r="K46" s="336">
        <f>SUM(J32:J45)</f>
        <v>500.70432813286368</v>
      </c>
      <c r="L46" s="154"/>
      <c r="O46" s="45"/>
      <c r="P46"/>
      <c r="Q46"/>
    </row>
    <row r="47" spans="1:17" ht="9" customHeight="1">
      <c r="A47" s="17"/>
      <c r="B47" s="17"/>
      <c r="C47" s="17"/>
      <c r="D47" s="68"/>
      <c r="E47" s="17"/>
      <c r="F47" s="18"/>
      <c r="G47" s="43"/>
      <c r="H47" s="17"/>
      <c r="I47" s="17"/>
      <c r="J47" s="17"/>
      <c r="L47" s="154"/>
      <c r="O47" s="45"/>
      <c r="P47"/>
      <c r="Q47"/>
    </row>
    <row r="48" spans="1:17">
      <c r="A48" s="216" t="s">
        <v>228</v>
      </c>
      <c r="B48" s="16"/>
      <c r="C48" s="209"/>
      <c r="D48" s="17"/>
      <c r="E48" s="17"/>
      <c r="F48" s="18"/>
      <c r="G48" s="43"/>
      <c r="H48" s="17"/>
      <c r="I48" s="17"/>
      <c r="J48" s="17"/>
      <c r="L48" s="154"/>
      <c r="P48"/>
      <c r="Q48"/>
    </row>
    <row r="49" spans="1:17">
      <c r="A49" s="438">
        <v>100</v>
      </c>
      <c r="B49" s="107" t="s">
        <v>199</v>
      </c>
      <c r="C49" s="183" t="s">
        <v>231</v>
      </c>
      <c r="D49" s="51">
        <v>91</v>
      </c>
      <c r="E49" s="49">
        <f>D49/100*A49</f>
        <v>91</v>
      </c>
      <c r="G49" s="43"/>
      <c r="H49" s="55">
        <f>IF(E49=0,A49,A49/E49*J49)</f>
        <v>85.556114745848035</v>
      </c>
      <c r="I49" s="2" t="str">
        <f>B49</f>
        <v>banane</v>
      </c>
      <c r="J49" s="49">
        <f>E49*$M$19%</f>
        <v>77.856064418721701</v>
      </c>
      <c r="L49" s="154"/>
    </row>
    <row r="50" spans="1:17">
      <c r="A50" s="42"/>
      <c r="B50" s="157"/>
      <c r="C50" s="158"/>
      <c r="E50" s="130" t="s">
        <v>6</v>
      </c>
      <c r="F50" s="159">
        <f>SUM(E49:E49)</f>
        <v>91</v>
      </c>
      <c r="G50" s="140"/>
      <c r="H50" s="42"/>
      <c r="I50" s="131"/>
      <c r="J50" s="130" t="s">
        <v>6</v>
      </c>
      <c r="K50" s="336">
        <f>J49</f>
        <v>77.856064418721701</v>
      </c>
      <c r="L50" s="154"/>
      <c r="O50" s="45"/>
      <c r="Q50"/>
    </row>
    <row r="51" spans="1:17">
      <c r="A51" s="216" t="s">
        <v>226</v>
      </c>
      <c r="B51" s="16"/>
      <c r="C51" s="209"/>
      <c r="D51" s="17"/>
      <c r="E51" s="17"/>
      <c r="F51" s="18"/>
      <c r="G51" s="43"/>
      <c r="H51" s="17"/>
      <c r="I51" s="17"/>
      <c r="J51" s="17"/>
      <c r="L51" s="154"/>
      <c r="P51"/>
      <c r="Q51"/>
    </row>
    <row r="52" spans="1:17">
      <c r="A52" s="256" t="s">
        <v>262</v>
      </c>
      <c r="B52" s="257"/>
      <c r="C52" s="257"/>
      <c r="D52" s="257"/>
      <c r="E52" s="257"/>
      <c r="F52" s="257"/>
      <c r="G52" s="257"/>
      <c r="H52" s="257"/>
      <c r="I52" s="257"/>
      <c r="J52" s="258"/>
      <c r="L52" s="154"/>
      <c r="O52" s="45"/>
      <c r="Q52"/>
    </row>
    <row r="53" spans="1:17">
      <c r="A53" s="438">
        <v>120</v>
      </c>
      <c r="B53" s="107" t="s">
        <v>193</v>
      </c>
      <c r="C53" s="185" t="s">
        <v>233</v>
      </c>
      <c r="D53" s="164">
        <v>180</v>
      </c>
      <c r="E53" s="49">
        <f t="shared" si="5"/>
        <v>216</v>
      </c>
      <c r="F53" s="68"/>
      <c r="G53" s="128"/>
      <c r="H53" s="55">
        <f t="shared" ref="H53:H65" si="9">IF(E53=0,A53,A53/E53*J53)</f>
        <v>102.66733769501764</v>
      </c>
      <c r="I53" s="2" t="str">
        <f t="shared" ref="I53:I72" si="10">B53</f>
        <v>dos de saumon</v>
      </c>
      <c r="J53" s="49">
        <f t="shared" ref="J53:J65" si="11">E53*$M$19%</f>
        <v>184.80120785103173</v>
      </c>
      <c r="L53" s="154"/>
      <c r="M53" s="412"/>
      <c r="O53" s="45"/>
      <c r="P53"/>
      <c r="Q53"/>
    </row>
    <row r="54" spans="1:17">
      <c r="A54" s="438">
        <v>40</v>
      </c>
      <c r="B54" s="107" t="s">
        <v>194</v>
      </c>
      <c r="C54" s="196" t="s">
        <v>229</v>
      </c>
      <c r="D54" s="164">
        <v>184</v>
      </c>
      <c r="E54" s="49">
        <f t="shared" si="5"/>
        <v>73.600000000000009</v>
      </c>
      <c r="F54" s="169"/>
      <c r="G54" s="128"/>
      <c r="H54" s="55">
        <f t="shared" si="9"/>
        <v>34.22244589833921</v>
      </c>
      <c r="I54" s="2" t="str">
        <f t="shared" si="10"/>
        <v>saumon fumé</v>
      </c>
      <c r="J54" s="49">
        <f t="shared" si="11"/>
        <v>62.969300452944154</v>
      </c>
      <c r="L54" s="154"/>
      <c r="M54" s="412"/>
      <c r="O54" s="45"/>
      <c r="P54"/>
      <c r="Q54"/>
    </row>
    <row r="55" spans="1:17">
      <c r="A55" s="438">
        <v>200</v>
      </c>
      <c r="B55" s="107" t="s">
        <v>195</v>
      </c>
      <c r="C55" s="185" t="s">
        <v>233</v>
      </c>
      <c r="D55" s="164">
        <v>31</v>
      </c>
      <c r="E55" s="49">
        <f t="shared" si="5"/>
        <v>62</v>
      </c>
      <c r="F55" s="169"/>
      <c r="G55" s="128"/>
      <c r="H55" s="55">
        <f t="shared" si="9"/>
        <v>171.11222949169604</v>
      </c>
      <c r="I55" s="2" t="str">
        <f t="shared" si="10"/>
        <v>chou vert frisé</v>
      </c>
      <c r="J55" s="49">
        <f t="shared" si="11"/>
        <v>53.044791142425773</v>
      </c>
      <c r="L55" s="154"/>
      <c r="M55" s="412"/>
      <c r="O55" s="45"/>
      <c r="P55"/>
      <c r="Q55"/>
    </row>
    <row r="56" spans="1:17">
      <c r="A56" s="438">
        <v>8</v>
      </c>
      <c r="B56" s="107" t="s">
        <v>246</v>
      </c>
      <c r="C56" s="197" t="s">
        <v>230</v>
      </c>
      <c r="D56" s="164">
        <v>359</v>
      </c>
      <c r="E56" s="49">
        <f t="shared" si="5"/>
        <v>28.72</v>
      </c>
      <c r="F56" s="169"/>
      <c r="G56" s="128"/>
      <c r="H56" s="55">
        <f t="shared" si="9"/>
        <v>6.8444891796678418</v>
      </c>
      <c r="I56" s="2" t="str">
        <f t="shared" si="10"/>
        <v>fromage tartare</v>
      </c>
      <c r="J56" s="49">
        <f t="shared" si="11"/>
        <v>24.57171615500755</v>
      </c>
      <c r="L56" s="154"/>
      <c r="M56" s="412"/>
      <c r="O56" s="45"/>
      <c r="P56"/>
      <c r="Q56"/>
    </row>
    <row r="57" spans="1:17">
      <c r="A57" s="438">
        <v>3</v>
      </c>
      <c r="B57" s="107" t="s">
        <v>197</v>
      </c>
      <c r="C57" s="196" t="s">
        <v>229</v>
      </c>
      <c r="D57" s="164">
        <v>899</v>
      </c>
      <c r="E57" s="49">
        <f t="shared" ref="E57:E62" si="12">D57/100*A57</f>
        <v>26.97</v>
      </c>
      <c r="F57" s="170"/>
      <c r="G57" s="128"/>
      <c r="H57" s="161">
        <f t="shared" ref="H57:H62" si="13">IF(E57=0,A57,A57/E57*J57)</f>
        <v>2.5666834423754405</v>
      </c>
      <c r="I57" s="2" t="str">
        <f t="shared" ref="I57:I62" si="14">B57</f>
        <v>huile de colza</v>
      </c>
      <c r="J57" s="49">
        <f t="shared" ref="J57:J62" si="15">E57*$M$19%</f>
        <v>23.074484146955211</v>
      </c>
      <c r="L57" s="154"/>
      <c r="M57" s="412"/>
      <c r="O57" s="45"/>
      <c r="P57"/>
      <c r="Q57"/>
    </row>
    <row r="58" spans="1:17">
      <c r="A58" s="438">
        <v>3</v>
      </c>
      <c r="B58" s="107" t="s">
        <v>108</v>
      </c>
      <c r="C58" s="197" t="s">
        <v>230</v>
      </c>
      <c r="D58" s="164">
        <v>899</v>
      </c>
      <c r="E58" s="49">
        <f t="shared" si="12"/>
        <v>26.97</v>
      </c>
      <c r="F58" s="170"/>
      <c r="G58" s="128"/>
      <c r="H58" s="161">
        <f t="shared" si="13"/>
        <v>2.5666834423754405</v>
      </c>
      <c r="I58" s="2" t="str">
        <f t="shared" si="14"/>
        <v>huile d'olive</v>
      </c>
      <c r="J58" s="49">
        <f t="shared" si="15"/>
        <v>23.074484146955211</v>
      </c>
      <c r="L58" s="154"/>
      <c r="M58" s="412"/>
      <c r="O58" s="45"/>
      <c r="P58"/>
      <c r="Q58"/>
    </row>
    <row r="59" spans="1:17">
      <c r="A59" s="438">
        <v>1.5</v>
      </c>
      <c r="B59" s="107" t="s">
        <v>198</v>
      </c>
      <c r="C59" s="184" t="s">
        <v>232</v>
      </c>
      <c r="D59" s="164">
        <v>58</v>
      </c>
      <c r="E59" s="49">
        <f t="shared" si="12"/>
        <v>0.86999999999999988</v>
      </c>
      <c r="F59" s="169"/>
      <c r="G59" s="128"/>
      <c r="H59" s="55">
        <f t="shared" si="13"/>
        <v>1.2833417211877205</v>
      </c>
      <c r="I59" s="2" t="str">
        <f t="shared" si="14"/>
        <v>sauce soja</v>
      </c>
      <c r="J59" s="49">
        <f t="shared" si="15"/>
        <v>0.74433819828887771</v>
      </c>
      <c r="L59" s="154"/>
      <c r="M59" s="412"/>
      <c r="O59" s="45"/>
      <c r="P59"/>
      <c r="Q59"/>
    </row>
    <row r="60" spans="1:17">
      <c r="A60" s="438">
        <v>1.5</v>
      </c>
      <c r="B60" s="107" t="s">
        <v>196</v>
      </c>
      <c r="C60" s="185" t="s">
        <v>233</v>
      </c>
      <c r="D60" s="164">
        <v>43</v>
      </c>
      <c r="E60" s="49">
        <f t="shared" si="12"/>
        <v>0.64500000000000002</v>
      </c>
      <c r="F60" s="170"/>
      <c r="G60" s="128"/>
      <c r="H60" s="55">
        <f t="shared" si="13"/>
        <v>1.2833417211877203</v>
      </c>
      <c r="I60" s="2" t="str">
        <f t="shared" si="14"/>
        <v>aneth</v>
      </c>
      <c r="J60" s="49">
        <f t="shared" si="15"/>
        <v>0.55183694011071971</v>
      </c>
      <c r="L60" s="154"/>
      <c r="M60" s="412"/>
      <c r="O60" s="45"/>
      <c r="P60"/>
      <c r="Q60"/>
    </row>
    <row r="61" spans="1:17">
      <c r="A61" s="438">
        <v>2</v>
      </c>
      <c r="B61" s="107" t="s">
        <v>176</v>
      </c>
      <c r="C61" s="185" t="s">
        <v>233</v>
      </c>
      <c r="D61" s="164">
        <v>82</v>
      </c>
      <c r="E61" s="49">
        <f t="shared" si="12"/>
        <v>1.64</v>
      </c>
      <c r="F61" s="169"/>
      <c r="G61" s="128"/>
      <c r="H61" s="55">
        <f t="shared" si="13"/>
        <v>1.7111222949169604</v>
      </c>
      <c r="I61" s="2" t="str">
        <f t="shared" si="14"/>
        <v>gingembre</v>
      </c>
      <c r="J61" s="49">
        <f t="shared" si="15"/>
        <v>1.4031202818319075</v>
      </c>
      <c r="L61" s="154"/>
      <c r="M61" s="412"/>
      <c r="O61" s="45"/>
      <c r="P61"/>
      <c r="Q61"/>
    </row>
    <row r="62" spans="1:17">
      <c r="A62" s="438">
        <v>1</v>
      </c>
      <c r="B62" s="107" t="s">
        <v>109</v>
      </c>
      <c r="C62" s="197" t="s">
        <v>230</v>
      </c>
      <c r="D62" s="164">
        <v>0</v>
      </c>
      <c r="E62" s="49">
        <f t="shared" si="12"/>
        <v>0</v>
      </c>
      <c r="F62" s="169"/>
      <c r="G62" s="128"/>
      <c r="H62" s="55">
        <f t="shared" si="13"/>
        <v>1</v>
      </c>
      <c r="I62" s="2" t="str">
        <f t="shared" si="14"/>
        <v>sel</v>
      </c>
      <c r="J62" s="49">
        <f t="shared" si="15"/>
        <v>0</v>
      </c>
      <c r="L62" s="154"/>
      <c r="O62" s="45"/>
      <c r="P62"/>
      <c r="Q62"/>
    </row>
    <row r="63" spans="1:17">
      <c r="A63" s="438">
        <v>0.5</v>
      </c>
      <c r="B63" s="107" t="s">
        <v>116</v>
      </c>
      <c r="C63" s="183" t="s">
        <v>231</v>
      </c>
      <c r="D63" s="51">
        <v>222</v>
      </c>
      <c r="E63" s="49">
        <f t="shared" si="5"/>
        <v>1.1100000000000001</v>
      </c>
      <c r="F63" s="169"/>
      <c r="G63" s="128"/>
      <c r="H63" s="55">
        <f t="shared" si="9"/>
        <v>0.42778057372924011</v>
      </c>
      <c r="I63" s="2" t="str">
        <f t="shared" si="10"/>
        <v>poivre</v>
      </c>
      <c r="J63" s="49">
        <f t="shared" si="11"/>
        <v>0.94967287367891318</v>
      </c>
      <c r="L63" s="154"/>
      <c r="M63" s="412"/>
      <c r="O63" s="45"/>
      <c r="P63"/>
      <c r="Q63"/>
    </row>
    <row r="64" spans="1:17">
      <c r="A64" s="438">
        <f>250/4</f>
        <v>62.5</v>
      </c>
      <c r="B64" s="107" t="s">
        <v>251</v>
      </c>
      <c r="C64" s="196" t="s">
        <v>229</v>
      </c>
      <c r="D64" s="164">
        <v>351</v>
      </c>
      <c r="E64" s="49">
        <f>D64/100*A64</f>
        <v>219.375</v>
      </c>
      <c r="F64" s="169"/>
      <c r="G64" s="128"/>
      <c r="H64" s="161">
        <f>IF(E64=0,A64,A64/E64*J64)</f>
        <v>53.472571716155016</v>
      </c>
      <c r="I64" s="2" t="str">
        <f>B64</f>
        <v>boulgour sec</v>
      </c>
      <c r="J64" s="49">
        <f t="shared" si="11"/>
        <v>187.68872672370409</v>
      </c>
      <c r="K64" s="275"/>
      <c r="L64" s="154"/>
      <c r="M64" s="412"/>
      <c r="O64" s="45"/>
      <c r="P64"/>
      <c r="Q64"/>
    </row>
    <row r="65" spans="1:17">
      <c r="A65" s="438">
        <v>8</v>
      </c>
      <c r="B65" s="107" t="s">
        <v>0</v>
      </c>
      <c r="C65" s="197" t="s">
        <v>230</v>
      </c>
      <c r="D65" s="164">
        <v>747</v>
      </c>
      <c r="E65" s="49">
        <f t="shared" si="5"/>
        <v>59.76</v>
      </c>
      <c r="F65" s="169"/>
      <c r="G65" s="128"/>
      <c r="H65" s="55">
        <f t="shared" si="9"/>
        <v>6.8444891796678418</v>
      </c>
      <c r="I65" s="2" t="str">
        <f t="shared" si="10"/>
        <v>beurre</v>
      </c>
      <c r="J65" s="49">
        <f t="shared" si="11"/>
        <v>51.128334172118777</v>
      </c>
      <c r="L65" s="154"/>
      <c r="O65" s="45"/>
      <c r="P65"/>
      <c r="Q65"/>
    </row>
    <row r="66" spans="1:17">
      <c r="A66" s="42"/>
      <c r="B66" s="157"/>
      <c r="C66" s="158"/>
      <c r="E66" s="130" t="s">
        <v>6</v>
      </c>
      <c r="F66" s="138">
        <f>SUM(E53:E65)</f>
        <v>717.66000000000008</v>
      </c>
      <c r="G66" s="140"/>
      <c r="H66" s="42"/>
      <c r="I66" s="131"/>
      <c r="J66" s="130" t="s">
        <v>6</v>
      </c>
      <c r="K66" s="336">
        <f>SUM(J53:J65)</f>
        <v>614.00201308505291</v>
      </c>
      <c r="L66" s="154"/>
      <c r="O66" s="45"/>
      <c r="Q66"/>
    </row>
    <row r="67" spans="1:17">
      <c r="A67" s="256" t="s">
        <v>248</v>
      </c>
      <c r="B67" s="257"/>
      <c r="C67" s="257"/>
      <c r="D67" s="257"/>
      <c r="E67" s="257"/>
      <c r="F67" s="259"/>
      <c r="G67" s="260"/>
      <c r="H67" s="257"/>
      <c r="I67" s="257" t="str">
        <f>A67</f>
        <v>Mousse au café</v>
      </c>
      <c r="J67" s="258"/>
      <c r="L67" s="154"/>
      <c r="O67" s="45"/>
      <c r="Q67"/>
    </row>
    <row r="68" spans="1:17">
      <c r="A68" s="438">
        <v>2</v>
      </c>
      <c r="B68" s="107" t="s">
        <v>249</v>
      </c>
      <c r="C68" s="198"/>
      <c r="D68" s="164"/>
      <c r="E68" s="49">
        <f t="shared" si="5"/>
        <v>0</v>
      </c>
      <c r="F68" s="18"/>
      <c r="G68" s="128"/>
      <c r="H68" s="55">
        <f t="shared" ref="H68:H72" si="16">IF(E68=0,A68,A68/E68*J68)</f>
        <v>2</v>
      </c>
      <c r="I68" s="162" t="str">
        <f t="shared" si="10"/>
        <v>café soluble</v>
      </c>
      <c r="J68" s="49">
        <f t="shared" ref="J68:J72" si="17">E68*$M$19%</f>
        <v>0</v>
      </c>
      <c r="L68" s="154"/>
      <c r="M68" s="412"/>
      <c r="O68" s="45"/>
      <c r="P68"/>
      <c r="Q68"/>
    </row>
    <row r="69" spans="1:17">
      <c r="A69" s="438">
        <v>1</v>
      </c>
      <c r="B69" s="107" t="s">
        <v>252</v>
      </c>
      <c r="C69" s="196" t="s">
        <v>229</v>
      </c>
      <c r="D69" s="164">
        <v>338</v>
      </c>
      <c r="E69" s="49">
        <f t="shared" si="5"/>
        <v>3.38</v>
      </c>
      <c r="F69" s="18"/>
      <c r="G69" s="128"/>
      <c r="H69" s="55">
        <f t="shared" si="16"/>
        <v>0.85556114745848022</v>
      </c>
      <c r="I69" s="162" t="str">
        <f t="shared" si="10"/>
        <v>feuilles de gélatine</v>
      </c>
      <c r="J69" s="153">
        <f t="shared" si="17"/>
        <v>2.8917966784096629</v>
      </c>
      <c r="L69" s="154"/>
      <c r="M69" s="412"/>
      <c r="O69" s="45"/>
      <c r="P69"/>
      <c r="Q69"/>
    </row>
    <row r="70" spans="1:17">
      <c r="A70" s="438">
        <v>62.5</v>
      </c>
      <c r="B70" s="107" t="s">
        <v>253</v>
      </c>
      <c r="C70" s="197" t="s">
        <v>230</v>
      </c>
      <c r="D70" s="164">
        <v>252</v>
      </c>
      <c r="E70" s="49">
        <f t="shared" si="5"/>
        <v>157.5</v>
      </c>
      <c r="F70" s="18"/>
      <c r="G70" s="128"/>
      <c r="H70" s="55">
        <f t="shared" si="16"/>
        <v>53.472571716155016</v>
      </c>
      <c r="I70" s="162" t="str">
        <f t="shared" si="10"/>
        <v>crème 25%</v>
      </c>
      <c r="J70" s="49">
        <f t="shared" si="17"/>
        <v>134.75088072471064</v>
      </c>
      <c r="L70" s="154"/>
      <c r="M70" s="412"/>
      <c r="O70" s="45"/>
      <c r="P70"/>
      <c r="Q70"/>
    </row>
    <row r="71" spans="1:17">
      <c r="A71" s="438">
        <f>180/4</f>
        <v>45</v>
      </c>
      <c r="B71" s="107" t="s">
        <v>181</v>
      </c>
      <c r="C71" s="185" t="s">
        <v>233</v>
      </c>
      <c r="D71" s="164">
        <v>146</v>
      </c>
      <c r="E71" s="49">
        <f t="shared" si="5"/>
        <v>65.7</v>
      </c>
      <c r="F71" s="18"/>
      <c r="G71" s="128"/>
      <c r="H71" s="55">
        <f t="shared" si="16"/>
        <v>38.500251635631614</v>
      </c>
      <c r="I71" s="162" t="str">
        <f t="shared" si="10"/>
        <v>œufs</v>
      </c>
      <c r="J71" s="49">
        <f t="shared" si="17"/>
        <v>56.210367388022156</v>
      </c>
      <c r="K71" s="275"/>
      <c r="L71" s="154"/>
      <c r="M71" s="412"/>
      <c r="O71" s="45"/>
      <c r="P71"/>
      <c r="Q71"/>
    </row>
    <row r="72" spans="1:17">
      <c r="A72" s="438">
        <v>6</v>
      </c>
      <c r="B72" s="107" t="s">
        <v>250</v>
      </c>
      <c r="C72" s="197" t="s">
        <v>230</v>
      </c>
      <c r="D72" s="107">
        <v>400</v>
      </c>
      <c r="E72" s="49">
        <f t="shared" si="5"/>
        <v>24</v>
      </c>
      <c r="F72" s="18"/>
      <c r="G72" s="128"/>
      <c r="H72" s="55">
        <f t="shared" si="16"/>
        <v>5.1333668847508811</v>
      </c>
      <c r="I72" s="2" t="str">
        <f t="shared" si="10"/>
        <v xml:space="preserve">sucre </v>
      </c>
      <c r="J72" s="49">
        <f t="shared" si="17"/>
        <v>20.533467539003524</v>
      </c>
      <c r="K72" s="275"/>
      <c r="L72" s="154"/>
      <c r="M72" s="412"/>
      <c r="O72" s="45"/>
      <c r="P72"/>
      <c r="Q72"/>
    </row>
    <row r="73" spans="1:17">
      <c r="A73" s="42"/>
      <c r="B73" s="131"/>
      <c r="C73" s="132"/>
      <c r="E73" s="143" t="s">
        <v>6</v>
      </c>
      <c r="F73" s="171">
        <f>SUM(E68:E72)</f>
        <v>250.57999999999998</v>
      </c>
      <c r="G73" s="25"/>
      <c r="H73" s="42"/>
      <c r="I73" s="131"/>
      <c r="J73" s="143" t="s">
        <v>6</v>
      </c>
      <c r="K73" s="336">
        <f>SUM(J68:J73)</f>
        <v>214.38651233014599</v>
      </c>
      <c r="L73" s="154"/>
      <c r="O73" s="45"/>
      <c r="Q73"/>
    </row>
    <row r="74" spans="1:17">
      <c r="A74" s="54">
        <f>IF(D5="non",0,IF(D5="1 verre",125,250))</f>
        <v>0</v>
      </c>
      <c r="B74" s="2" t="str">
        <f>IF(A74=0,"","vin")</f>
        <v/>
      </c>
      <c r="C74" s="145"/>
      <c r="D74" s="51">
        <v>80</v>
      </c>
      <c r="E74" s="49">
        <f>D74/100*A74</f>
        <v>0</v>
      </c>
      <c r="F74" s="136" t="s">
        <v>12</v>
      </c>
      <c r="G74" s="142"/>
      <c r="H74" s="55">
        <f>IF(E74=0,A74,A74/E74*J74)</f>
        <v>0</v>
      </c>
      <c r="I74" s="2" t="str">
        <f>B74</f>
        <v/>
      </c>
      <c r="J74" s="49">
        <f>E74*$M$19%</f>
        <v>0</v>
      </c>
      <c r="L74" s="154"/>
      <c r="O74" s="45"/>
      <c r="P74"/>
      <c r="Q74"/>
    </row>
    <row r="75" spans="1:17" ht="6" customHeight="1">
      <c r="A75" s="17"/>
      <c r="B75" s="17"/>
      <c r="C75" s="17"/>
      <c r="D75" s="68"/>
      <c r="E75" s="17"/>
      <c r="F75" s="18"/>
      <c r="G75" s="43"/>
      <c r="H75" s="17"/>
      <c r="I75" s="17"/>
      <c r="J75" s="17"/>
      <c r="L75" s="154"/>
      <c r="P75"/>
      <c r="Q75"/>
    </row>
    <row r="76" spans="1:17">
      <c r="A76" s="17"/>
      <c r="B76" s="17"/>
      <c r="C76" s="17"/>
      <c r="D76" s="69" t="s">
        <v>129</v>
      </c>
      <c r="F76" s="146">
        <f>SUM(F21:F73)</f>
        <v>1986.71</v>
      </c>
      <c r="G76" s="130"/>
      <c r="H76" s="17"/>
      <c r="I76" s="69" t="s">
        <v>129</v>
      </c>
      <c r="K76" s="337">
        <f>SUM(K21:K74)</f>
        <v>1699.7518872672374</v>
      </c>
      <c r="L76" s="154"/>
      <c r="P76"/>
      <c r="Q76"/>
    </row>
    <row r="77" spans="1:17">
      <c r="A77" s="17"/>
      <c r="B77" s="17"/>
      <c r="C77" s="17"/>
      <c r="D77" s="18" t="s">
        <v>130</v>
      </c>
      <c r="E77" s="25"/>
      <c r="F77" s="144">
        <f>F76+E74</f>
        <v>1986.71</v>
      </c>
      <c r="G77" s="43"/>
      <c r="H77" s="42"/>
      <c r="I77" s="18" t="s">
        <v>130</v>
      </c>
      <c r="J77" s="25"/>
      <c r="K77" s="336">
        <f>K76+J74</f>
        <v>1699.7518872672374</v>
      </c>
      <c r="L77" s="154"/>
      <c r="P77"/>
      <c r="Q77"/>
    </row>
    <row r="78" spans="1:17">
      <c r="A78" s="17"/>
      <c r="B78" s="16"/>
      <c r="C78" s="16"/>
      <c r="D78" s="17"/>
      <c r="E78" s="17"/>
      <c r="F78" s="18"/>
      <c r="G78" s="43"/>
      <c r="H78" s="17"/>
      <c r="I78" s="17"/>
      <c r="J78" s="17"/>
      <c r="L78" s="154"/>
      <c r="P78"/>
      <c r="Q78"/>
    </row>
    <row r="79" spans="1:17" ht="19">
      <c r="A79" s="118" t="s">
        <v>100</v>
      </c>
      <c r="B79" s="498" t="s">
        <v>99</v>
      </c>
      <c r="C79" s="498"/>
      <c r="D79" s="17"/>
      <c r="E79" s="17"/>
      <c r="F79" s="18"/>
      <c r="G79" s="18"/>
      <c r="H79" s="17"/>
      <c r="I79" s="17"/>
      <c r="J79" s="17"/>
      <c r="L79" s="154"/>
      <c r="P79"/>
      <c r="Q79"/>
    </row>
    <row r="80" spans="1:17" ht="372" customHeight="1">
      <c r="A80" s="17"/>
      <c r="B80" s="16"/>
      <c r="C80" s="16"/>
      <c r="D80" s="17"/>
      <c r="E80" s="17"/>
      <c r="F80" s="18"/>
      <c r="G80" s="18"/>
      <c r="H80" s="17"/>
      <c r="I80" s="17"/>
      <c r="J80" s="17"/>
      <c r="L80" s="154"/>
      <c r="P80"/>
      <c r="Q80"/>
    </row>
    <row r="81" spans="1:17">
      <c r="A81" s="17"/>
      <c r="B81" s="16"/>
      <c r="C81" s="16"/>
      <c r="D81" s="17"/>
      <c r="E81" s="17"/>
      <c r="F81" s="18"/>
      <c r="G81" s="18"/>
      <c r="H81" s="17"/>
      <c r="I81" s="17"/>
      <c r="J81" s="17"/>
      <c r="L81" s="154"/>
      <c r="P81"/>
      <c r="Q81"/>
    </row>
    <row r="82" spans="1:17">
      <c r="A82" s="17"/>
      <c r="B82" s="16"/>
      <c r="C82" s="16"/>
      <c r="D82" s="17"/>
      <c r="E82" s="17"/>
      <c r="F82" s="18"/>
      <c r="G82" s="18"/>
      <c r="H82" s="17"/>
      <c r="I82" s="17"/>
      <c r="J82" s="17"/>
      <c r="L82" s="154"/>
      <c r="P82"/>
      <c r="Q82"/>
    </row>
    <row r="83" spans="1:17">
      <c r="F83" s="18"/>
      <c r="G83" s="18"/>
      <c r="L83" s="154"/>
    </row>
    <row r="84" spans="1:17">
      <c r="H84" s="330"/>
    </row>
  </sheetData>
  <sheetProtection password="A5F4" sheet="1" objects="1" scenarios="1" selectLockedCells="1"/>
  <mergeCells count="8">
    <mergeCell ref="B79:C79"/>
    <mergeCell ref="B15:J15"/>
    <mergeCell ref="D8:J8"/>
    <mergeCell ref="A19:A20"/>
    <mergeCell ref="B19:B20"/>
    <mergeCell ref="D19:E19"/>
    <mergeCell ref="H19:H20"/>
    <mergeCell ref="I19:I20"/>
  </mergeCells>
  <dataValidations xWindow="841" yWindow="283" count="2">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Modification des quantités" prompt="Vous pouvez diminuer ou augmenter la quantité,._x000d_Si vous désirez supprimer l'aliment, inscrivez 0 (zéro)." sqref="A1:A1048576"/>
  </dataValidations>
  <hyperlinks>
    <hyperlink ref="B79" location="sommaire!A1" display="RETOUR AU SOMMAIRE"/>
    <hyperlink ref="C79"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841" yWindow="283" count="2">
        <x14:dataValidation type="list" allowBlank="1" showErrorMessage="1" promptTitle="Objectif du jour" prompt="Entrez ici l'apport calorique souhaité._x000d_Arrondissez à la centaine inférieure ou supérieure l'estimation obtenue avec le calculateur du feuillet &quot;bilan&quot;.">
          <x14:formula1>
            <xm:f>d!$A$27:$A$37</xm:f>
          </x14:formula1>
          <xm:sqref>D7</xm:sqref>
        </x14:dataValidation>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4"/>
  <sheetViews>
    <sheetView workbookViewId="0">
      <selection activeCell="D5" sqref="D5"/>
    </sheetView>
  </sheetViews>
  <sheetFormatPr baseColWidth="10" defaultRowHeight="15" x14ac:dyDescent="0"/>
  <cols>
    <col min="1" max="1" width="6.33203125" customWidth="1"/>
    <col min="2" max="2" width="24.5" style="5" customWidth="1"/>
    <col min="3" max="3" width="3.1640625" style="240" customWidth="1"/>
    <col min="4" max="4" width="8.1640625" customWidth="1"/>
    <col min="5" max="5" width="7.6640625" customWidth="1"/>
    <col min="6" max="6" width="7" style="136" customWidth="1"/>
    <col min="7" max="7" width="3.83203125" style="136" customWidth="1"/>
    <col min="8" max="8" width="6.6640625" customWidth="1"/>
    <col min="9" max="9" width="29.5" customWidth="1"/>
    <col min="10" max="10" width="8.33203125" customWidth="1"/>
    <col min="11" max="11" width="7" style="18" customWidth="1"/>
    <col min="12" max="12" width="166.33203125" style="242" customWidth="1"/>
    <col min="13" max="13" width="9.6640625" style="407" customWidth="1"/>
    <col min="14" max="14" width="3.33203125" style="44" customWidth="1"/>
    <col min="15" max="17" width="10.83203125" style="44"/>
  </cols>
  <sheetData>
    <row r="1" spans="1:17" ht="19">
      <c r="A1" s="207" t="s">
        <v>749</v>
      </c>
      <c r="B1" s="120"/>
      <c r="C1" s="227"/>
      <c r="D1" s="121"/>
      <c r="E1" s="121"/>
      <c r="F1" s="122"/>
      <c r="G1" s="122"/>
      <c r="H1" s="122"/>
      <c r="I1" s="123" t="s">
        <v>101</v>
      </c>
      <c r="J1" s="266" t="s">
        <v>676</v>
      </c>
      <c r="K1" s="217"/>
      <c r="N1"/>
      <c r="O1"/>
      <c r="P1"/>
      <c r="Q1"/>
    </row>
    <row r="2" spans="1:17">
      <c r="A2" s="17"/>
      <c r="B2" s="16" t="s">
        <v>12</v>
      </c>
      <c r="C2" s="228"/>
      <c r="D2" s="17"/>
      <c r="E2" s="17"/>
      <c r="F2" s="18"/>
      <c r="G2" s="18"/>
      <c r="H2" s="17"/>
      <c r="I2" s="17"/>
      <c r="J2" s="17"/>
      <c r="K2" s="43"/>
      <c r="N2"/>
      <c r="O2"/>
      <c r="P2"/>
      <c r="Q2"/>
    </row>
    <row r="3" spans="1:17">
      <c r="A3" s="16" t="s">
        <v>19</v>
      </c>
      <c r="B3" s="16"/>
      <c r="C3" s="228"/>
      <c r="D3" s="15">
        <f>ROUND(F77,0)</f>
        <v>1990</v>
      </c>
      <c r="E3" s="17" t="s">
        <v>9</v>
      </c>
      <c r="F3" s="18"/>
      <c r="G3" s="18"/>
      <c r="H3" s="42"/>
      <c r="I3" s="42"/>
      <c r="J3" s="42"/>
      <c r="K3" s="43"/>
      <c r="N3"/>
      <c r="O3"/>
      <c r="P3"/>
      <c r="Q3"/>
    </row>
    <row r="4" spans="1:17" ht="12" customHeight="1">
      <c r="A4" s="24" t="s">
        <v>26</v>
      </c>
      <c r="B4" s="16"/>
      <c r="C4" s="228"/>
      <c r="D4" s="19"/>
      <c r="E4" s="17"/>
      <c r="F4" s="18"/>
      <c r="G4" s="18"/>
      <c r="H4" s="17"/>
      <c r="I4" s="17"/>
      <c r="J4" s="17"/>
      <c r="K4" s="43"/>
      <c r="N4"/>
      <c r="O4"/>
      <c r="P4"/>
      <c r="Q4"/>
    </row>
    <row r="5" spans="1:17">
      <c r="A5" s="16" t="s">
        <v>29</v>
      </c>
      <c r="B5" s="16"/>
      <c r="C5" s="229" t="s">
        <v>25</v>
      </c>
      <c r="D5" s="436" t="s">
        <v>10</v>
      </c>
      <c r="E5" s="17" t="str">
        <f>IF(D5="non","",IF(D5=1,d!B22,d!B23))</f>
        <v/>
      </c>
      <c r="F5" s="18"/>
      <c r="G5" s="18"/>
      <c r="H5" s="17"/>
      <c r="I5" s="17"/>
      <c r="J5" s="17"/>
      <c r="K5" s="43"/>
      <c r="N5"/>
      <c r="O5"/>
      <c r="P5"/>
      <c r="Q5"/>
    </row>
    <row r="6" spans="1:17">
      <c r="A6" s="16" t="s">
        <v>18</v>
      </c>
      <c r="B6" s="16"/>
      <c r="C6" s="228"/>
      <c r="D6" s="437">
        <v>0</v>
      </c>
      <c r="E6" s="17" t="s">
        <v>9</v>
      </c>
      <c r="F6" s="98"/>
      <c r="G6" s="414" t="s">
        <v>100</v>
      </c>
      <c r="H6" s="415" t="s">
        <v>33</v>
      </c>
      <c r="I6" s="17"/>
      <c r="J6" s="17"/>
      <c r="K6" s="333"/>
      <c r="N6"/>
      <c r="O6"/>
      <c r="P6"/>
      <c r="Q6"/>
    </row>
    <row r="7" spans="1:17">
      <c r="A7" s="21" t="s">
        <v>35</v>
      </c>
      <c r="B7" s="16"/>
      <c r="C7" s="229"/>
      <c r="D7" s="74">
        <f>jour_1!D7</f>
        <v>1700</v>
      </c>
      <c r="E7" s="17" t="s">
        <v>9</v>
      </c>
      <c r="F7" s="18"/>
      <c r="G7" s="416"/>
      <c r="H7" s="417" t="s">
        <v>816</v>
      </c>
      <c r="I7" s="17"/>
      <c r="J7" s="17"/>
      <c r="K7" s="43"/>
      <c r="N7"/>
      <c r="O7"/>
      <c r="P7"/>
      <c r="Q7"/>
    </row>
    <row r="8" spans="1:17" ht="45" customHeight="1">
      <c r="A8" s="17"/>
      <c r="B8" s="16"/>
      <c r="C8" s="228"/>
      <c r="D8" s="480" t="str">
        <f>IF(D5="non","",d!A24)</f>
        <v/>
      </c>
      <c r="E8" s="480"/>
      <c r="F8" s="480"/>
      <c r="G8" s="480"/>
      <c r="H8" s="480"/>
      <c r="I8" s="480"/>
      <c r="J8" s="480"/>
      <c r="K8" s="243"/>
      <c r="L8" s="243"/>
      <c r="N8"/>
      <c r="O8"/>
      <c r="P8"/>
      <c r="Q8"/>
    </row>
    <row r="9" spans="1:17" ht="6" customHeight="1">
      <c r="A9" s="17"/>
      <c r="B9" s="16"/>
      <c r="C9" s="228"/>
      <c r="D9" s="18"/>
      <c r="E9" s="17"/>
      <c r="F9" s="18"/>
      <c r="G9" s="18"/>
      <c r="H9" s="17"/>
      <c r="I9" s="17"/>
      <c r="J9" s="17"/>
      <c r="K9" s="43"/>
      <c r="N9"/>
      <c r="O9"/>
      <c r="P9"/>
      <c r="Q9"/>
    </row>
    <row r="10" spans="1:17">
      <c r="A10" s="17"/>
      <c r="B10" s="26" t="s">
        <v>14</v>
      </c>
      <c r="C10" s="230"/>
      <c r="D10" s="28"/>
      <c r="E10" s="28"/>
      <c r="F10" s="133"/>
      <c r="G10" s="133"/>
      <c r="H10" s="28"/>
      <c r="I10" s="28"/>
      <c r="J10" s="29"/>
      <c r="K10" s="31"/>
      <c r="N10"/>
      <c r="O10"/>
      <c r="P10"/>
      <c r="Q10"/>
    </row>
    <row r="11" spans="1:17">
      <c r="A11" s="17"/>
      <c r="B11" s="30" t="s">
        <v>15</v>
      </c>
      <c r="C11" s="31"/>
      <c r="D11" s="15">
        <f>D7+D6</f>
        <v>1700</v>
      </c>
      <c r="E11" s="32" t="s">
        <v>7</v>
      </c>
      <c r="F11" s="31"/>
      <c r="G11" s="31"/>
      <c r="H11" s="33"/>
      <c r="I11" s="33"/>
      <c r="J11" s="34"/>
      <c r="K11" s="31"/>
      <c r="N11"/>
      <c r="O11"/>
      <c r="P11"/>
      <c r="Q11"/>
    </row>
    <row r="12" spans="1:17">
      <c r="A12" s="17"/>
      <c r="B12" s="30" t="s">
        <v>16</v>
      </c>
      <c r="C12" s="31"/>
      <c r="D12" s="23">
        <f>ABS(M13)</f>
        <v>290</v>
      </c>
      <c r="E12" s="32" t="s">
        <v>7</v>
      </c>
      <c r="F12" s="32" t="str">
        <f>IF(M13&gt;0,d!A44,d!A45)</f>
        <v>de moins que les menus Pan Metron du jour</v>
      </c>
      <c r="G12" s="31"/>
      <c r="H12" s="33"/>
      <c r="I12" s="33"/>
      <c r="J12" s="34"/>
      <c r="K12" s="32"/>
      <c r="M12" s="407" t="s">
        <v>132</v>
      </c>
      <c r="N12"/>
      <c r="O12"/>
      <c r="P12"/>
      <c r="Q12"/>
    </row>
    <row r="13" spans="1:17" ht="13" customHeight="1">
      <c r="A13" s="24"/>
      <c r="B13" s="35"/>
      <c r="C13" s="231"/>
      <c r="D13" s="37"/>
      <c r="E13" s="1"/>
      <c r="F13" s="38" t="str">
        <f>IF(D5="non","",d!A46)</f>
        <v/>
      </c>
      <c r="G13" s="39"/>
      <c r="H13" s="38"/>
      <c r="I13" s="38"/>
      <c r="J13" s="40"/>
      <c r="K13" s="43"/>
      <c r="M13" s="408">
        <f>D3+E75-D11</f>
        <v>290</v>
      </c>
      <c r="N13"/>
      <c r="O13"/>
      <c r="P13"/>
      <c r="Q13"/>
    </row>
    <row r="14" spans="1:17" ht="8" customHeight="1">
      <c r="A14" s="24"/>
      <c r="B14" s="41"/>
      <c r="C14" s="32"/>
      <c r="D14" s="19"/>
      <c r="E14" s="42"/>
      <c r="F14" s="43"/>
      <c r="G14" s="43"/>
      <c r="H14" s="42"/>
      <c r="I14" s="42"/>
      <c r="J14" s="42"/>
      <c r="K14" s="43"/>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44"/>
      <c r="L15" s="244"/>
      <c r="M15" s="409"/>
      <c r="N15"/>
      <c r="O15"/>
      <c r="P15"/>
      <c r="Q15"/>
    </row>
    <row r="16" spans="1:17" ht="12" customHeight="1">
      <c r="A16" s="17"/>
      <c r="B16" s="22"/>
      <c r="C16" s="22"/>
      <c r="D16" s="22"/>
      <c r="E16" s="22"/>
      <c r="F16" s="134"/>
      <c r="G16" s="134"/>
      <c r="H16" s="22"/>
      <c r="I16" s="22"/>
      <c r="J16" s="22"/>
      <c r="K16" s="134"/>
      <c r="L16" s="244"/>
      <c r="N16"/>
      <c r="O16"/>
      <c r="P16"/>
      <c r="Q16"/>
    </row>
    <row r="17" spans="1:17" ht="17" customHeight="1">
      <c r="A17" s="60" t="s">
        <v>24</v>
      </c>
      <c r="B17" s="61"/>
      <c r="C17" s="232"/>
      <c r="D17" s="61"/>
      <c r="E17" s="62"/>
      <c r="F17" s="178"/>
      <c r="G17" s="141"/>
      <c r="H17" s="57" t="s">
        <v>36</v>
      </c>
      <c r="I17" s="58"/>
      <c r="J17" s="59"/>
      <c r="K17" s="134"/>
      <c r="L17" s="244"/>
      <c r="M17" s="269" t="s">
        <v>8</v>
      </c>
      <c r="O17" s="148"/>
      <c r="Q17"/>
    </row>
    <row r="18" spans="1:17">
      <c r="A18" s="485" t="s">
        <v>11</v>
      </c>
      <c r="B18" s="483" t="s">
        <v>227</v>
      </c>
      <c r="C18" s="126"/>
      <c r="D18" s="481" t="s">
        <v>7</v>
      </c>
      <c r="E18" s="482"/>
      <c r="F18" s="178"/>
      <c r="G18" s="43"/>
      <c r="H18" s="487" t="str">
        <f>A18</f>
        <v>g/cl</v>
      </c>
      <c r="I18" s="483" t="s">
        <v>227</v>
      </c>
      <c r="J18" s="70" t="s">
        <v>7</v>
      </c>
      <c r="M18" s="411">
        <f>100-(D12/((D11+D12)/100))</f>
        <v>85.427135678391963</v>
      </c>
      <c r="Q18"/>
    </row>
    <row r="19" spans="1:17" ht="12" customHeight="1">
      <c r="A19" s="486"/>
      <c r="B19" s="484"/>
      <c r="C19" s="127"/>
      <c r="D19" s="72" t="s">
        <v>22</v>
      </c>
      <c r="E19" s="73" t="s">
        <v>23</v>
      </c>
      <c r="F19" s="178"/>
      <c r="G19" s="43"/>
      <c r="H19" s="488"/>
      <c r="I19" s="484"/>
      <c r="J19" s="71" t="s">
        <v>23</v>
      </c>
      <c r="M19" s="269"/>
      <c r="Q19"/>
    </row>
    <row r="20" spans="1:17" ht="8" customHeight="1">
      <c r="A20" s="17"/>
      <c r="B20" s="16"/>
      <c r="C20" s="209"/>
      <c r="D20" s="17"/>
      <c r="E20" s="17"/>
      <c r="F20" s="18"/>
      <c r="G20" s="43"/>
      <c r="H20" s="17"/>
      <c r="I20" s="17"/>
      <c r="J20" s="17"/>
      <c r="K20" s="154"/>
      <c r="L20" s="154"/>
      <c r="P20"/>
      <c r="Q20"/>
    </row>
    <row r="21" spans="1:17">
      <c r="A21" s="216" t="s">
        <v>243</v>
      </c>
      <c r="B21" s="16"/>
      <c r="C21" s="209"/>
      <c r="D21" s="17"/>
      <c r="E21" s="17"/>
      <c r="F21" s="18"/>
      <c r="G21" s="43"/>
      <c r="H21" s="17"/>
      <c r="I21" s="17"/>
      <c r="J21" s="17"/>
      <c r="K21" s="154"/>
      <c r="L21" s="154"/>
      <c r="P21"/>
      <c r="Q21"/>
    </row>
    <row r="22" spans="1:17">
      <c r="A22" s="438">
        <v>60</v>
      </c>
      <c r="B22" s="2" t="s">
        <v>134</v>
      </c>
      <c r="C22" s="185" t="s">
        <v>233</v>
      </c>
      <c r="D22" s="51">
        <v>134</v>
      </c>
      <c r="E22" s="49">
        <f>D22/100*A22</f>
        <v>80.400000000000006</v>
      </c>
      <c r="F22" s="178"/>
      <c r="G22" s="43"/>
      <c r="H22" s="55">
        <f>IF(E22=0,A22,A22/E22*J22)</f>
        <v>51.256281407035175</v>
      </c>
      <c r="I22" s="2" t="str">
        <f t="shared" ref="I22:I28" si="0">B22</f>
        <v>œuf à la coque</v>
      </c>
      <c r="J22" s="49">
        <f>E22*$M$18%</f>
        <v>68.683417085427138</v>
      </c>
      <c r="M22" s="411"/>
      <c r="Q22"/>
    </row>
    <row r="23" spans="1:17">
      <c r="A23" s="438">
        <v>0.5</v>
      </c>
      <c r="B23" s="2" t="s">
        <v>109</v>
      </c>
      <c r="C23" s="197" t="s">
        <v>230</v>
      </c>
      <c r="D23" s="51">
        <v>0</v>
      </c>
      <c r="E23" s="49">
        <f t="shared" ref="E23:E28" si="1">D23/100*A23</f>
        <v>0</v>
      </c>
      <c r="F23" s="178"/>
      <c r="G23" s="43"/>
      <c r="H23" s="55">
        <f t="shared" ref="H23:H28" si="2">IF(E23=0,A23,A23/E23*J23)</f>
        <v>0.5</v>
      </c>
      <c r="I23" s="2" t="str">
        <f t="shared" si="0"/>
        <v>sel</v>
      </c>
      <c r="J23" s="49">
        <f t="shared" ref="J23:J28" si="3">E23*$M$18%</f>
        <v>0</v>
      </c>
      <c r="Q23"/>
    </row>
    <row r="24" spans="1:17">
      <c r="A24" s="438">
        <v>40</v>
      </c>
      <c r="B24" s="2" t="s">
        <v>102</v>
      </c>
      <c r="C24" s="196" t="s">
        <v>229</v>
      </c>
      <c r="D24" s="51">
        <v>229</v>
      </c>
      <c r="E24" s="49">
        <f t="shared" si="1"/>
        <v>91.6</v>
      </c>
      <c r="F24" s="178"/>
      <c r="G24" s="43"/>
      <c r="H24" s="55">
        <f t="shared" si="2"/>
        <v>34.170854271356788</v>
      </c>
      <c r="I24" s="2" t="str">
        <f t="shared" si="0"/>
        <v>pain complet</v>
      </c>
      <c r="J24" s="49">
        <f t="shared" si="3"/>
        <v>78.251256281407038</v>
      </c>
      <c r="O24" s="45"/>
      <c r="Q24"/>
    </row>
    <row r="25" spans="1:17">
      <c r="A25" s="438">
        <v>125</v>
      </c>
      <c r="B25" s="2" t="s">
        <v>137</v>
      </c>
      <c r="C25" s="185" t="s">
        <v>233</v>
      </c>
      <c r="D25" s="51">
        <v>71</v>
      </c>
      <c r="E25" s="49">
        <f t="shared" si="1"/>
        <v>88.75</v>
      </c>
      <c r="F25" s="178"/>
      <c r="G25" s="43"/>
      <c r="H25" s="55">
        <f t="shared" si="2"/>
        <v>106.78391959798994</v>
      </c>
      <c r="I25" s="2" t="str">
        <f t="shared" si="0"/>
        <v>fromage blanc 20%</v>
      </c>
      <c r="J25" s="49">
        <f t="shared" si="3"/>
        <v>75.816582914572862</v>
      </c>
      <c r="O25" s="45"/>
      <c r="Q25"/>
    </row>
    <row r="26" spans="1:17">
      <c r="A26" s="438">
        <v>100</v>
      </c>
      <c r="B26" s="2" t="s">
        <v>136</v>
      </c>
      <c r="C26" s="199" t="s">
        <v>231</v>
      </c>
      <c r="D26" s="51">
        <v>67</v>
      </c>
      <c r="E26" s="49">
        <f t="shared" si="1"/>
        <v>67</v>
      </c>
      <c r="F26" s="178"/>
      <c r="G26" s="43"/>
      <c r="H26" s="55">
        <f t="shared" si="2"/>
        <v>85.427135678391963</v>
      </c>
      <c r="I26" s="2" t="str">
        <f t="shared" si="0"/>
        <v>salade de fruits frais</v>
      </c>
      <c r="J26" s="49">
        <f t="shared" si="3"/>
        <v>57.236180904522612</v>
      </c>
      <c r="O26" s="45"/>
      <c r="Q26"/>
    </row>
    <row r="27" spans="1:17">
      <c r="A27" s="438">
        <v>150</v>
      </c>
      <c r="B27" s="2" t="s">
        <v>135</v>
      </c>
      <c r="C27" s="203"/>
      <c r="D27" s="51">
        <v>0</v>
      </c>
      <c r="E27" s="49">
        <f t="shared" si="1"/>
        <v>0</v>
      </c>
      <c r="F27" s="178"/>
      <c r="G27" s="43"/>
      <c r="H27" s="55">
        <f t="shared" si="2"/>
        <v>150</v>
      </c>
      <c r="I27" s="2" t="str">
        <f t="shared" si="0"/>
        <v>thé</v>
      </c>
      <c r="J27" s="49">
        <f t="shared" si="3"/>
        <v>0</v>
      </c>
      <c r="O27" s="45"/>
      <c r="Q27"/>
    </row>
    <row r="28" spans="1:17">
      <c r="A28" s="438">
        <v>12</v>
      </c>
      <c r="B28" s="2" t="s">
        <v>2</v>
      </c>
      <c r="C28" s="197" t="s">
        <v>230</v>
      </c>
      <c r="D28" s="51">
        <v>400</v>
      </c>
      <c r="E28" s="49">
        <f t="shared" si="1"/>
        <v>48</v>
      </c>
      <c r="F28" s="178"/>
      <c r="G28" s="43"/>
      <c r="H28" s="55">
        <f t="shared" si="2"/>
        <v>10.251256281407036</v>
      </c>
      <c r="I28" s="2" t="str">
        <f t="shared" si="0"/>
        <v>sucre</v>
      </c>
      <c r="J28" s="49">
        <f t="shared" si="3"/>
        <v>41.005025125628144</v>
      </c>
      <c r="O28" s="45"/>
      <c r="Q28"/>
    </row>
    <row r="29" spans="1:17">
      <c r="A29" s="17"/>
      <c r="B29" s="17"/>
      <c r="C29" s="235"/>
      <c r="D29" s="68"/>
      <c r="E29" s="17"/>
      <c r="F29" s="135">
        <f>SUM(E22:E28)</f>
        <v>375.75</v>
      </c>
      <c r="G29" s="128"/>
      <c r="H29" s="42"/>
      <c r="I29" s="131"/>
      <c r="J29" s="130" t="s">
        <v>6</v>
      </c>
      <c r="K29" s="440">
        <f>SUM(J22:J28)</f>
        <v>320.9924623115578</v>
      </c>
      <c r="O29" s="45"/>
      <c r="Q29"/>
    </row>
    <row r="30" spans="1:17">
      <c r="A30" s="216" t="s">
        <v>225</v>
      </c>
      <c r="B30" s="16"/>
      <c r="C30" s="209"/>
      <c r="D30" s="17"/>
      <c r="E30" s="17"/>
      <c r="F30" s="18"/>
      <c r="G30" s="43"/>
      <c r="H30" s="17"/>
      <c r="I30" s="17"/>
      <c r="J30" s="17"/>
      <c r="K30" s="154"/>
      <c r="L30" s="154"/>
      <c r="P30"/>
      <c r="Q30"/>
    </row>
    <row r="31" spans="1:17">
      <c r="A31" s="256" t="s">
        <v>259</v>
      </c>
      <c r="B31" s="257"/>
      <c r="C31" s="257"/>
      <c r="D31" s="257"/>
      <c r="E31" s="257"/>
      <c r="F31" s="257"/>
      <c r="G31" s="257"/>
      <c r="H31" s="257"/>
      <c r="I31" s="257"/>
      <c r="J31" s="258"/>
      <c r="K31" s="154"/>
      <c r="L31" s="154"/>
      <c r="O31" s="45"/>
      <c r="Q31"/>
    </row>
    <row r="32" spans="1:17">
      <c r="A32" s="441">
        <v>100</v>
      </c>
      <c r="B32" s="107" t="s">
        <v>218</v>
      </c>
      <c r="C32" s="199" t="s">
        <v>231</v>
      </c>
      <c r="D32" s="164">
        <v>116</v>
      </c>
      <c r="E32" s="49">
        <f t="shared" ref="E32:E43" si="4">D32/100*A32</f>
        <v>115.99999999999999</v>
      </c>
      <c r="F32" s="241"/>
      <c r="G32" s="128"/>
      <c r="H32" s="55">
        <f t="shared" ref="H32:H45" si="5">IF(E32=0,A32,A32/E32*J32)</f>
        <v>85.427135678391949</v>
      </c>
      <c r="I32" s="2" t="str">
        <f t="shared" ref="I32:I45" si="6">B32</f>
        <v xml:space="preserve">penne </v>
      </c>
      <c r="J32" s="49">
        <f t="shared" ref="J32:J45" si="7">E32*$M$18%</f>
        <v>99.095477386934661</v>
      </c>
      <c r="K32" s="177"/>
      <c r="M32" s="412"/>
      <c r="O32" s="45"/>
      <c r="P32"/>
      <c r="Q32"/>
    </row>
    <row r="33" spans="1:17">
      <c r="A33" s="441">
        <v>2.5</v>
      </c>
      <c r="B33" s="107" t="s">
        <v>216</v>
      </c>
      <c r="C33" s="185" t="s">
        <v>233</v>
      </c>
      <c r="D33" s="164">
        <v>45</v>
      </c>
      <c r="E33" s="49">
        <f t="shared" si="4"/>
        <v>1.125</v>
      </c>
      <c r="F33" s="241"/>
      <c r="G33" s="128"/>
      <c r="H33" s="55">
        <f>IF(E33=0,A33,A33/E33*J33)</f>
        <v>2.1356783919597992</v>
      </c>
      <c r="I33" s="2" t="str">
        <f t="shared" si="6"/>
        <v>piment rouge frais</v>
      </c>
      <c r="J33" s="49">
        <f>E33*$M$18%</f>
        <v>0.96105527638190957</v>
      </c>
      <c r="K33" s="178"/>
      <c r="M33" s="412"/>
      <c r="O33" s="45"/>
      <c r="P33"/>
      <c r="Q33"/>
    </row>
    <row r="34" spans="1:17">
      <c r="A34" s="441">
        <v>50</v>
      </c>
      <c r="B34" s="107" t="s">
        <v>175</v>
      </c>
      <c r="C34" s="185" t="s">
        <v>233</v>
      </c>
      <c r="D34" s="164">
        <v>29</v>
      </c>
      <c r="E34" s="49">
        <f t="shared" si="4"/>
        <v>14.499999999999998</v>
      </c>
      <c r="F34" s="241"/>
      <c r="G34" s="128"/>
      <c r="H34" s="55">
        <f t="shared" si="5"/>
        <v>42.713567839195974</v>
      </c>
      <c r="I34" s="2" t="str">
        <f t="shared" si="6"/>
        <v>oignons</v>
      </c>
      <c r="J34" s="49">
        <f t="shared" si="7"/>
        <v>12.386934673366833</v>
      </c>
      <c r="K34" s="178"/>
      <c r="M34" s="412"/>
      <c r="O34" s="45"/>
      <c r="P34"/>
      <c r="Q34"/>
    </row>
    <row r="35" spans="1:17">
      <c r="A35" s="441">
        <v>1.5</v>
      </c>
      <c r="B35" s="107" t="s">
        <v>169</v>
      </c>
      <c r="C35" s="185" t="s">
        <v>233</v>
      </c>
      <c r="D35" s="164">
        <v>131</v>
      </c>
      <c r="E35" s="49">
        <f t="shared" si="4"/>
        <v>1.9650000000000001</v>
      </c>
      <c r="F35" s="241"/>
      <c r="G35" s="128"/>
      <c r="H35" s="55">
        <f t="shared" ref="H35" si="8">IF(E35=0,A35,A35/E35*J35)</f>
        <v>1.2814070351758793</v>
      </c>
      <c r="I35" s="2" t="str">
        <f t="shared" si="6"/>
        <v>aïl</v>
      </c>
      <c r="J35" s="49">
        <f t="shared" ref="J35" si="9">E35*$M$18%</f>
        <v>1.6786432160804021</v>
      </c>
      <c r="K35" s="178"/>
      <c r="M35" s="412"/>
      <c r="O35" s="45"/>
      <c r="P35"/>
      <c r="Q35"/>
    </row>
    <row r="36" spans="1:17">
      <c r="A36" s="441">
        <f>150/4</f>
        <v>37.5</v>
      </c>
      <c r="B36" s="107" t="s">
        <v>256</v>
      </c>
      <c r="C36" s="196" t="s">
        <v>229</v>
      </c>
      <c r="D36" s="164">
        <v>125</v>
      </c>
      <c r="E36" s="49">
        <f t="shared" si="4"/>
        <v>46.875</v>
      </c>
      <c r="F36" s="241"/>
      <c r="G36" s="128"/>
      <c r="H36" s="55">
        <f>IF(E36=0,A36,A36/E36*J36)</f>
        <v>32.035175879396988</v>
      </c>
      <c r="I36" s="2" t="str">
        <f t="shared" si="6"/>
        <v>dés de jambon</v>
      </c>
      <c r="J36" s="49">
        <f>E36*$M$18%</f>
        <v>40.043969849246231</v>
      </c>
      <c r="K36" s="178"/>
      <c r="M36" s="412"/>
      <c r="O36" s="45"/>
      <c r="P36"/>
      <c r="Q36"/>
    </row>
    <row r="37" spans="1:17">
      <c r="A37" s="441">
        <v>50</v>
      </c>
      <c r="B37" s="2" t="s">
        <v>214</v>
      </c>
      <c r="C37" s="199" t="s">
        <v>231</v>
      </c>
      <c r="D37" s="51">
        <v>58</v>
      </c>
      <c r="E37" s="49">
        <f t="shared" si="4"/>
        <v>28.999999999999996</v>
      </c>
      <c r="F37" s="241"/>
      <c r="G37" s="128"/>
      <c r="H37" s="55">
        <f t="shared" si="5"/>
        <v>42.713567839195974</v>
      </c>
      <c r="I37" s="2" t="str">
        <f t="shared" si="6"/>
        <v>sauce tomate</v>
      </c>
      <c r="J37" s="49">
        <f t="shared" si="7"/>
        <v>24.773869346733665</v>
      </c>
      <c r="K37" s="178"/>
      <c r="M37" s="412"/>
      <c r="O37" s="45"/>
      <c r="P37"/>
      <c r="Q37"/>
    </row>
    <row r="38" spans="1:17">
      <c r="A38" s="441">
        <v>25</v>
      </c>
      <c r="B38" s="107" t="s">
        <v>257</v>
      </c>
      <c r="C38" s="197" t="s">
        <v>230</v>
      </c>
      <c r="D38" s="164">
        <v>182</v>
      </c>
      <c r="E38" s="49">
        <f t="shared" si="4"/>
        <v>45.5</v>
      </c>
      <c r="F38" s="241"/>
      <c r="G38" s="128"/>
      <c r="H38" s="55">
        <f t="shared" si="5"/>
        <v>21.356783919597994</v>
      </c>
      <c r="I38" s="2" t="str">
        <f t="shared" si="6"/>
        <v xml:space="preserve">filets d'anchois </v>
      </c>
      <c r="J38" s="49">
        <f t="shared" si="7"/>
        <v>38.869346733668344</v>
      </c>
      <c r="K38" s="179"/>
      <c r="M38" s="412"/>
      <c r="O38" s="45"/>
      <c r="P38"/>
      <c r="Q38"/>
    </row>
    <row r="39" spans="1:17">
      <c r="A39" s="441">
        <v>15</v>
      </c>
      <c r="B39" s="107" t="s">
        <v>215</v>
      </c>
      <c r="C39" s="197" t="s">
        <v>230</v>
      </c>
      <c r="D39" s="164">
        <v>294</v>
      </c>
      <c r="E39" s="49">
        <f t="shared" si="4"/>
        <v>44.1</v>
      </c>
      <c r="F39" s="241"/>
      <c r="G39" s="128"/>
      <c r="H39" s="55">
        <f t="shared" si="5"/>
        <v>12.814070351758794</v>
      </c>
      <c r="I39" s="2" t="str">
        <f t="shared" si="6"/>
        <v>olives noires</v>
      </c>
      <c r="J39" s="49">
        <f t="shared" si="7"/>
        <v>37.673366834170857</v>
      </c>
      <c r="K39" s="178"/>
      <c r="M39" s="412"/>
      <c r="O39" s="45"/>
      <c r="P39"/>
      <c r="Q39"/>
    </row>
    <row r="40" spans="1:17">
      <c r="A40" s="441">
        <v>25</v>
      </c>
      <c r="B40" s="107" t="s">
        <v>190</v>
      </c>
      <c r="C40" s="245" t="s">
        <v>232</v>
      </c>
      <c r="D40" s="164">
        <v>391</v>
      </c>
      <c r="E40" s="49">
        <f t="shared" si="4"/>
        <v>97.75</v>
      </c>
      <c r="F40" s="241"/>
      <c r="G40" s="128"/>
      <c r="H40" s="161">
        <f t="shared" si="5"/>
        <v>21.356783919597991</v>
      </c>
      <c r="I40" s="2" t="str">
        <f t="shared" si="6"/>
        <v>parmesan</v>
      </c>
      <c r="J40" s="49">
        <f t="shared" si="7"/>
        <v>83.505025125628137</v>
      </c>
      <c r="K40" s="179"/>
      <c r="M40" s="412"/>
      <c r="O40" s="45"/>
      <c r="P40"/>
      <c r="Q40"/>
    </row>
    <row r="41" spans="1:17">
      <c r="A41" s="441">
        <v>6</v>
      </c>
      <c r="B41" s="107" t="s">
        <v>108</v>
      </c>
      <c r="C41" s="197" t="s">
        <v>230</v>
      </c>
      <c r="D41" s="164">
        <v>899</v>
      </c>
      <c r="E41" s="49">
        <f t="shared" si="4"/>
        <v>53.94</v>
      </c>
      <c r="F41" s="241"/>
      <c r="G41" s="128"/>
      <c r="H41" s="161">
        <f t="shared" si="5"/>
        <v>5.125628140703518</v>
      </c>
      <c r="I41" s="2" t="str">
        <f t="shared" si="6"/>
        <v>huile d'olive</v>
      </c>
      <c r="J41" s="49">
        <f t="shared" si="7"/>
        <v>46.079396984924621</v>
      </c>
      <c r="K41" s="179"/>
      <c r="M41" s="412"/>
      <c r="O41" s="45"/>
      <c r="P41"/>
      <c r="Q41"/>
    </row>
    <row r="42" spans="1:17">
      <c r="A42" s="442">
        <v>1</v>
      </c>
      <c r="B42" s="107" t="s">
        <v>109</v>
      </c>
      <c r="C42" s="197" t="s">
        <v>230</v>
      </c>
      <c r="D42" s="164">
        <v>0</v>
      </c>
      <c r="E42" s="49">
        <f t="shared" si="4"/>
        <v>0</v>
      </c>
      <c r="F42" s="241"/>
      <c r="G42" s="128"/>
      <c r="H42" s="161">
        <f t="shared" si="5"/>
        <v>1</v>
      </c>
      <c r="I42" s="2" t="str">
        <f t="shared" si="6"/>
        <v>sel</v>
      </c>
      <c r="J42" s="49">
        <f t="shared" si="7"/>
        <v>0</v>
      </c>
      <c r="K42" s="179"/>
      <c r="M42" s="412"/>
      <c r="O42" s="45"/>
      <c r="P42"/>
      <c r="Q42"/>
    </row>
    <row r="43" spans="1:17">
      <c r="A43" s="441">
        <v>0.5</v>
      </c>
      <c r="B43" s="107" t="s">
        <v>116</v>
      </c>
      <c r="C43" s="199" t="s">
        <v>231</v>
      </c>
      <c r="D43" s="51">
        <v>222</v>
      </c>
      <c r="E43" s="49">
        <f t="shared" si="4"/>
        <v>1.1100000000000001</v>
      </c>
      <c r="F43" s="241"/>
      <c r="G43" s="128"/>
      <c r="H43" s="161">
        <f t="shared" si="5"/>
        <v>0.42713567839195976</v>
      </c>
      <c r="I43" s="2" t="str">
        <f t="shared" si="6"/>
        <v>poivre</v>
      </c>
      <c r="J43" s="49">
        <f t="shared" si="7"/>
        <v>0.94824120603015083</v>
      </c>
      <c r="K43" s="179"/>
      <c r="M43" s="412"/>
      <c r="O43" s="45"/>
      <c r="P43"/>
      <c r="Q43"/>
    </row>
    <row r="44" spans="1:17">
      <c r="A44" s="438">
        <v>50</v>
      </c>
      <c r="B44" s="107" t="s">
        <v>202</v>
      </c>
      <c r="C44" s="185" t="s">
        <v>233</v>
      </c>
      <c r="D44" s="164">
        <v>18</v>
      </c>
      <c r="E44" s="49">
        <f t="shared" ref="E44:E45" si="10">D44/100*A44</f>
        <v>9</v>
      </c>
      <c r="F44" s="241"/>
      <c r="G44" s="128"/>
      <c r="H44" s="55">
        <f t="shared" si="5"/>
        <v>42.713567839195981</v>
      </c>
      <c r="I44" s="2" t="str">
        <f t="shared" si="6"/>
        <v>mesclun</v>
      </c>
      <c r="J44" s="49">
        <f t="shared" si="7"/>
        <v>7.6884422110552766</v>
      </c>
      <c r="K44" s="68"/>
      <c r="M44" s="412"/>
      <c r="O44" s="45"/>
      <c r="Q44"/>
    </row>
    <row r="45" spans="1:17">
      <c r="A45" s="438">
        <v>12</v>
      </c>
      <c r="B45" s="107" t="s">
        <v>111</v>
      </c>
      <c r="C45" s="197" t="s">
        <v>230</v>
      </c>
      <c r="D45" s="51">
        <v>472</v>
      </c>
      <c r="E45" s="49">
        <f t="shared" si="10"/>
        <v>56.64</v>
      </c>
      <c r="F45" s="241"/>
      <c r="G45" s="128"/>
      <c r="H45" s="55">
        <f t="shared" si="5"/>
        <v>10.251256281407036</v>
      </c>
      <c r="I45" s="2" t="str">
        <f t="shared" si="6"/>
        <v>sauce salade italienne</v>
      </c>
      <c r="J45" s="49">
        <f t="shared" si="7"/>
        <v>48.385929648241209</v>
      </c>
      <c r="K45" s="68"/>
      <c r="M45" s="412"/>
      <c r="O45" s="45"/>
      <c r="Q45"/>
    </row>
    <row r="46" spans="1:17">
      <c r="A46" s="163"/>
      <c r="B46" s="66" t="s">
        <v>127</v>
      </c>
      <c r="C46" s="236"/>
      <c r="D46" s="63"/>
      <c r="E46" s="64"/>
      <c r="F46" s="226"/>
      <c r="G46" s="128"/>
      <c r="H46" s="65"/>
      <c r="I46" s="66"/>
      <c r="J46" s="67"/>
      <c r="K46" s="68"/>
      <c r="M46" s="412"/>
      <c r="O46" s="45"/>
      <c r="P46"/>
      <c r="Q46"/>
    </row>
    <row r="47" spans="1:17">
      <c r="A47" s="438">
        <v>150</v>
      </c>
      <c r="B47" s="107" t="s">
        <v>203</v>
      </c>
      <c r="C47" s="185" t="s">
        <v>233</v>
      </c>
      <c r="D47" s="51">
        <v>40</v>
      </c>
      <c r="E47" s="49">
        <f>D47/100*A47</f>
        <v>60</v>
      </c>
      <c r="F47" s="165"/>
      <c r="G47" s="43"/>
      <c r="H47" s="55">
        <f>IF(E47=0,A47,A47/E47*J47)</f>
        <v>128.14070351758795</v>
      </c>
      <c r="I47" s="56">
        <f>D47</f>
        <v>40</v>
      </c>
      <c r="J47" s="49">
        <f>E47*$M$18%</f>
        <v>51.256281407035175</v>
      </c>
      <c r="O47" s="45"/>
      <c r="P47"/>
      <c r="Q47"/>
    </row>
    <row r="48" spans="1:17">
      <c r="A48" s="42"/>
      <c r="B48" s="131"/>
      <c r="C48" s="237"/>
      <c r="E48" s="130" t="s">
        <v>6</v>
      </c>
      <c r="F48" s="135">
        <f>SUM(E32:E47)</f>
        <v>577.505</v>
      </c>
      <c r="G48" s="43"/>
      <c r="H48" s="42"/>
      <c r="I48" s="131"/>
      <c r="J48" s="130" t="s">
        <v>6</v>
      </c>
      <c r="K48" s="440">
        <f>SUM(J32:J47)</f>
        <v>493.34597989949748</v>
      </c>
      <c r="O48" s="45"/>
      <c r="P48"/>
      <c r="Q48"/>
    </row>
    <row r="49" spans="1:17" ht="9" customHeight="1">
      <c r="A49" s="17"/>
      <c r="B49" s="17"/>
      <c r="C49" s="235"/>
      <c r="D49" s="68"/>
      <c r="E49" s="17"/>
      <c r="F49" s="178"/>
      <c r="G49" s="43"/>
      <c r="H49" s="17"/>
      <c r="I49" s="17"/>
      <c r="J49" s="17"/>
      <c r="O49" s="45"/>
      <c r="P49"/>
      <c r="Q49"/>
    </row>
    <row r="50" spans="1:17">
      <c r="A50" s="216" t="s">
        <v>228</v>
      </c>
      <c r="B50" s="16"/>
      <c r="C50" s="209"/>
      <c r="D50" s="17"/>
      <c r="E50" s="17"/>
      <c r="F50" s="18"/>
      <c r="G50" s="43"/>
      <c r="H50" s="17"/>
      <c r="I50" s="17"/>
      <c r="J50" s="17"/>
      <c r="K50" s="154"/>
      <c r="L50" s="154"/>
      <c r="P50"/>
      <c r="Q50"/>
    </row>
    <row r="51" spans="1:17">
      <c r="A51" s="48">
        <v>125</v>
      </c>
      <c r="B51" s="107" t="s">
        <v>206</v>
      </c>
      <c r="C51" s="196" t="s">
        <v>229</v>
      </c>
      <c r="D51" s="51">
        <v>127</v>
      </c>
      <c r="E51" s="49">
        <f>D51/100*A51</f>
        <v>158.75</v>
      </c>
      <c r="F51" s="178"/>
      <c r="G51" s="43"/>
      <c r="H51" s="55">
        <f>IF(E51=0,A51,A51/E51*J51)</f>
        <v>106.78391959798996</v>
      </c>
      <c r="I51" s="2" t="str">
        <f>B51</f>
        <v>yogourt grec</v>
      </c>
      <c r="J51" s="49">
        <f>E51*$M$18%</f>
        <v>135.61557788944725</v>
      </c>
    </row>
    <row r="52" spans="1:17">
      <c r="A52" s="48">
        <v>6</v>
      </c>
      <c r="B52" s="107" t="s">
        <v>207</v>
      </c>
      <c r="C52" s="196" t="s">
        <v>229</v>
      </c>
      <c r="D52" s="51">
        <v>306</v>
      </c>
      <c r="E52" s="49">
        <f>D52/100*A52</f>
        <v>18.36</v>
      </c>
      <c r="F52" s="178"/>
      <c r="G52" s="43"/>
      <c r="H52" s="55">
        <f>IF(E52=0,A52,A52/E52*J52)</f>
        <v>5.125628140703518</v>
      </c>
      <c r="I52" s="2" t="str">
        <f>B52</f>
        <v>miel</v>
      </c>
      <c r="J52" s="49">
        <f>E52*$M$18%</f>
        <v>15.684422110552765</v>
      </c>
    </row>
    <row r="53" spans="1:17">
      <c r="A53" s="42"/>
      <c r="B53" s="157"/>
      <c r="C53" s="238"/>
      <c r="E53" s="130" t="s">
        <v>6</v>
      </c>
      <c r="F53" s="139">
        <f>SUM(E51:E52)</f>
        <v>177.11</v>
      </c>
      <c r="G53" s="140"/>
      <c r="H53" s="42"/>
      <c r="I53" s="131"/>
      <c r="J53" s="130" t="s">
        <v>6</v>
      </c>
      <c r="K53" s="336">
        <f>J51+J52</f>
        <v>151.30000000000001</v>
      </c>
      <c r="O53" s="45"/>
      <c r="Q53"/>
    </row>
    <row r="54" spans="1:17">
      <c r="A54" s="216" t="s">
        <v>226</v>
      </c>
      <c r="B54" s="16"/>
      <c r="C54" s="209"/>
      <c r="D54" s="17"/>
      <c r="E54" s="17"/>
      <c r="F54" s="18"/>
      <c r="G54" s="43"/>
      <c r="H54" s="17"/>
      <c r="I54" s="17"/>
      <c r="J54" s="17"/>
      <c r="K54" s="154"/>
      <c r="L54" s="154"/>
      <c r="P54"/>
      <c r="Q54"/>
    </row>
    <row r="55" spans="1:17">
      <c r="A55" s="256" t="s">
        <v>264</v>
      </c>
      <c r="B55" s="257"/>
      <c r="C55" s="257"/>
      <c r="D55" s="257"/>
      <c r="E55" s="257"/>
      <c r="F55" s="257"/>
      <c r="G55" s="257"/>
      <c r="H55" s="257"/>
      <c r="I55" s="257"/>
      <c r="J55" s="258"/>
      <c r="K55" s="154"/>
      <c r="L55" s="154"/>
      <c r="O55" s="45"/>
      <c r="Q55"/>
    </row>
    <row r="56" spans="1:17">
      <c r="A56" s="438">
        <v>150</v>
      </c>
      <c r="B56" s="107" t="s">
        <v>201</v>
      </c>
      <c r="C56" s="185" t="s">
        <v>233</v>
      </c>
      <c r="D56" s="164">
        <v>76</v>
      </c>
      <c r="E56" s="49">
        <f>D56/100*A56</f>
        <v>114</v>
      </c>
      <c r="F56" s="241"/>
      <c r="G56" s="128"/>
      <c r="H56" s="55">
        <f>IF(E56=0,A56,A56/E56*J56)</f>
        <v>128.14070351758795</v>
      </c>
      <c r="I56" s="2" t="str">
        <f>B56</f>
        <v>pommes-de-terre</v>
      </c>
      <c r="J56" s="49">
        <f>E56*$M$18%</f>
        <v>97.386934673366838</v>
      </c>
      <c r="M56" s="412"/>
      <c r="O56" s="45"/>
      <c r="Q56"/>
    </row>
    <row r="57" spans="1:17">
      <c r="A57" s="438">
        <v>150</v>
      </c>
      <c r="B57" s="107" t="s">
        <v>240</v>
      </c>
      <c r="C57" s="185" t="s">
        <v>233</v>
      </c>
      <c r="D57" s="164">
        <v>21</v>
      </c>
      <c r="E57" s="49">
        <f t="shared" ref="E57:E60" si="11">D57/100*A57</f>
        <v>31.5</v>
      </c>
      <c r="F57" s="241"/>
      <c r="G57" s="128"/>
      <c r="H57" s="55">
        <f t="shared" ref="H57:H60" si="12">IF(E57=0,A57,A57/E57*J57)</f>
        <v>128.14070351758795</v>
      </c>
      <c r="I57" s="2" t="str">
        <f>B57</f>
        <v>tomates</v>
      </c>
      <c r="J57" s="49">
        <f t="shared" ref="J57:J60" si="13">E57*$M$18%</f>
        <v>26.909547738693469</v>
      </c>
      <c r="M57" s="412"/>
      <c r="O57" s="45"/>
      <c r="Q57"/>
    </row>
    <row r="58" spans="1:17">
      <c r="A58" s="438">
        <v>125</v>
      </c>
      <c r="B58" s="107" t="s">
        <v>140</v>
      </c>
      <c r="C58" s="185" t="s">
        <v>233</v>
      </c>
      <c r="D58" s="164">
        <v>19</v>
      </c>
      <c r="E58" s="49">
        <f t="shared" si="11"/>
        <v>23.75</v>
      </c>
      <c r="F58" s="241"/>
      <c r="G58" s="128"/>
      <c r="H58" s="55">
        <f t="shared" si="12"/>
        <v>106.78391959798996</v>
      </c>
      <c r="I58" s="2" t="str">
        <f t="shared" ref="I58:I60" si="14">B58</f>
        <v>courgette</v>
      </c>
      <c r="J58" s="49">
        <f t="shared" si="13"/>
        <v>20.288944723618091</v>
      </c>
      <c r="M58" s="412"/>
      <c r="O58" s="45"/>
      <c r="Q58"/>
    </row>
    <row r="59" spans="1:17">
      <c r="A59" s="438">
        <v>75</v>
      </c>
      <c r="B59" s="107" t="s">
        <v>255</v>
      </c>
      <c r="C59" s="185" t="s">
        <v>233</v>
      </c>
      <c r="D59" s="164">
        <v>17</v>
      </c>
      <c r="E59" s="49">
        <f t="shared" si="11"/>
        <v>12.750000000000002</v>
      </c>
      <c r="F59" s="241"/>
      <c r="G59" s="128"/>
      <c r="H59" s="55">
        <f t="shared" si="12"/>
        <v>64.070351758793976</v>
      </c>
      <c r="I59" s="2" t="str">
        <f t="shared" si="14"/>
        <v>aubergine</v>
      </c>
      <c r="J59" s="49">
        <f t="shared" si="13"/>
        <v>10.891959798994977</v>
      </c>
      <c r="M59" s="412"/>
      <c r="O59" s="45"/>
      <c r="Q59"/>
    </row>
    <row r="60" spans="1:17">
      <c r="A60" s="438">
        <v>9</v>
      </c>
      <c r="B60" s="107" t="s">
        <v>108</v>
      </c>
      <c r="C60" s="197" t="s">
        <v>230</v>
      </c>
      <c r="D60" s="164">
        <v>899</v>
      </c>
      <c r="E60" s="49">
        <f t="shared" si="11"/>
        <v>80.91</v>
      </c>
      <c r="F60" s="241"/>
      <c r="G60" s="128"/>
      <c r="H60" s="55">
        <f t="shared" si="12"/>
        <v>7.6884422110552766</v>
      </c>
      <c r="I60" s="2" t="str">
        <f t="shared" si="14"/>
        <v>huile d'olive</v>
      </c>
      <c r="J60" s="49">
        <f t="shared" si="13"/>
        <v>69.119095477386935</v>
      </c>
      <c r="M60" s="412"/>
      <c r="O60" s="45"/>
      <c r="Q60"/>
    </row>
    <row r="61" spans="1:17" s="117" customFormat="1">
      <c r="A61" s="443">
        <v>150</v>
      </c>
      <c r="B61" s="220" t="s">
        <v>200</v>
      </c>
      <c r="C61" s="185" t="s">
        <v>233</v>
      </c>
      <c r="D61" s="221">
        <v>133</v>
      </c>
      <c r="E61" s="222">
        <f>D61/100*A61</f>
        <v>199.5</v>
      </c>
      <c r="F61" s="241"/>
      <c r="G61" s="223"/>
      <c r="H61" s="224">
        <f t="shared" ref="H61:H65" si="15">IF(E61=0,A61,A61/E61*J61)</f>
        <v>128.14070351758795</v>
      </c>
      <c r="I61" s="225" t="str">
        <f>B61</f>
        <v>bavette de bœuf</v>
      </c>
      <c r="J61" s="222">
        <f t="shared" ref="J61:J65" si="16">E61*$M$18%</f>
        <v>170.42713567839198</v>
      </c>
      <c r="K61" s="261"/>
      <c r="L61" s="242"/>
      <c r="M61" s="412"/>
      <c r="N61" s="44"/>
      <c r="O61" s="45"/>
      <c r="P61" s="44"/>
    </row>
    <row r="62" spans="1:17">
      <c r="A62" s="438">
        <v>75</v>
      </c>
      <c r="B62" s="107" t="s">
        <v>175</v>
      </c>
      <c r="C62" s="185" t="s">
        <v>233</v>
      </c>
      <c r="D62" s="164">
        <v>29</v>
      </c>
      <c r="E62" s="49">
        <f>D62/100*A62</f>
        <v>21.75</v>
      </c>
      <c r="F62" s="241"/>
      <c r="G62" s="43"/>
      <c r="H62" s="55">
        <f t="shared" si="15"/>
        <v>64.070351758793976</v>
      </c>
      <c r="I62" s="2" t="str">
        <f>B62</f>
        <v>oignons</v>
      </c>
      <c r="J62" s="49">
        <f t="shared" si="16"/>
        <v>18.580402010050253</v>
      </c>
      <c r="M62" s="412"/>
      <c r="O62" s="45"/>
      <c r="Q62"/>
    </row>
    <row r="63" spans="1:17">
      <c r="A63" s="438">
        <v>5</v>
      </c>
      <c r="B63" s="107" t="s">
        <v>0</v>
      </c>
      <c r="C63" s="173" t="s">
        <v>230</v>
      </c>
      <c r="D63" s="164">
        <v>747</v>
      </c>
      <c r="E63" s="49">
        <f>D63/100*A63</f>
        <v>37.35</v>
      </c>
      <c r="F63" s="241"/>
      <c r="G63" s="43"/>
      <c r="H63" s="55">
        <f t="shared" si="15"/>
        <v>4.2713567839195985</v>
      </c>
      <c r="I63" s="2" t="str">
        <f>B63</f>
        <v>beurre</v>
      </c>
      <c r="J63" s="49">
        <f t="shared" si="16"/>
        <v>31.9070351758794</v>
      </c>
      <c r="M63" s="412"/>
      <c r="O63" s="45"/>
      <c r="Q63"/>
    </row>
    <row r="64" spans="1:17">
      <c r="A64" s="438">
        <v>2</v>
      </c>
      <c r="B64" s="107" t="s">
        <v>109</v>
      </c>
      <c r="C64" s="173" t="s">
        <v>230</v>
      </c>
      <c r="D64" s="164">
        <v>0</v>
      </c>
      <c r="E64" s="49">
        <f>D64/100*A64</f>
        <v>0</v>
      </c>
      <c r="F64" s="241"/>
      <c r="G64" s="128"/>
      <c r="H64" s="55">
        <f t="shared" si="15"/>
        <v>2</v>
      </c>
      <c r="I64" s="2" t="str">
        <f>B64</f>
        <v>sel</v>
      </c>
      <c r="J64" s="49">
        <f t="shared" si="16"/>
        <v>0</v>
      </c>
      <c r="M64" s="412"/>
      <c r="O64" s="45"/>
      <c r="Q64"/>
    </row>
    <row r="65" spans="1:17">
      <c r="A65" s="438">
        <v>0.5</v>
      </c>
      <c r="B65" s="107" t="s">
        <v>116</v>
      </c>
      <c r="C65" s="233" t="s">
        <v>231</v>
      </c>
      <c r="D65" s="51">
        <v>222</v>
      </c>
      <c r="E65" s="49">
        <f>D65/100*A65</f>
        <v>1.1100000000000001</v>
      </c>
      <c r="F65" s="241"/>
      <c r="G65" s="128"/>
      <c r="H65" s="55">
        <f t="shared" si="15"/>
        <v>0.42713567839195976</v>
      </c>
      <c r="I65" s="2" t="str">
        <f>B65</f>
        <v>poivre</v>
      </c>
      <c r="J65" s="49">
        <f t="shared" si="16"/>
        <v>0.94824120603015083</v>
      </c>
      <c r="M65" s="412"/>
      <c r="O65" s="45"/>
      <c r="Q65"/>
    </row>
    <row r="66" spans="1:17">
      <c r="A66" s="42"/>
      <c r="B66" s="157"/>
      <c r="C66" s="238"/>
      <c r="E66" s="130" t="s">
        <v>6</v>
      </c>
      <c r="F66" s="138">
        <f>SUM(E56:E65)</f>
        <v>522.62</v>
      </c>
      <c r="G66" s="140"/>
      <c r="H66" s="42"/>
      <c r="I66" s="131">
        <f t="shared" ref="I66" si="17">B66</f>
        <v>0</v>
      </c>
      <c r="J66" s="130" t="s">
        <v>6</v>
      </c>
      <c r="K66" s="336">
        <f>SUM(J56:J65)</f>
        <v>446.45929648241207</v>
      </c>
      <c r="O66" s="45"/>
      <c r="Q66"/>
    </row>
    <row r="67" spans="1:17">
      <c r="A67" s="256" t="s">
        <v>208</v>
      </c>
      <c r="B67" s="257"/>
      <c r="C67" s="257"/>
      <c r="D67" s="257"/>
      <c r="E67" s="257"/>
      <c r="F67" s="259"/>
      <c r="G67" s="260"/>
      <c r="H67" s="257"/>
      <c r="I67" s="257" t="str">
        <f>A67</f>
        <v>Cake au citron</v>
      </c>
      <c r="J67" s="258"/>
      <c r="K67" s="154"/>
      <c r="L67" s="154"/>
      <c r="O67" s="45"/>
      <c r="Q67"/>
    </row>
    <row r="68" spans="1:17">
      <c r="A68" s="438">
        <v>45</v>
      </c>
      <c r="B68" s="2" t="s">
        <v>209</v>
      </c>
      <c r="C68" s="185" t="s">
        <v>233</v>
      </c>
      <c r="D68" s="51">
        <v>15</v>
      </c>
      <c r="E68" s="49">
        <f t="shared" ref="E68:E73" si="18">D68/100*A68</f>
        <v>6.75</v>
      </c>
      <c r="F68" s="18"/>
      <c r="G68" s="128"/>
      <c r="H68" s="55">
        <f t="shared" ref="H68:H73" si="19">IF(E68=0,A68,A68/E68*J68)</f>
        <v>38.442211055276388</v>
      </c>
      <c r="I68" s="162" t="str">
        <f t="shared" ref="I68:I73" si="20">B68</f>
        <v>citrons</v>
      </c>
      <c r="J68" s="153">
        <f t="shared" ref="J68:J73" si="21">E68*$M$18%</f>
        <v>5.7663316582914579</v>
      </c>
      <c r="L68" s="154"/>
      <c r="M68" s="412"/>
      <c r="O68" s="45"/>
      <c r="P68"/>
      <c r="Q68"/>
    </row>
    <row r="69" spans="1:17">
      <c r="A69" s="438">
        <v>23</v>
      </c>
      <c r="B69" s="2" t="s">
        <v>126</v>
      </c>
      <c r="C69" s="185" t="s">
        <v>233</v>
      </c>
      <c r="D69" s="51">
        <v>146</v>
      </c>
      <c r="E69" s="49">
        <f t="shared" si="18"/>
        <v>33.58</v>
      </c>
      <c r="F69" s="18"/>
      <c r="G69" s="128"/>
      <c r="H69" s="55">
        <f t="shared" si="19"/>
        <v>19.648241206030153</v>
      </c>
      <c r="I69" s="2" t="str">
        <f t="shared" si="20"/>
        <v>œuf</v>
      </c>
      <c r="J69" s="49">
        <f t="shared" si="21"/>
        <v>28.686432160804021</v>
      </c>
      <c r="L69" s="154"/>
      <c r="M69" s="412"/>
      <c r="O69" s="45"/>
      <c r="P69"/>
      <c r="Q69"/>
    </row>
    <row r="70" spans="1:17">
      <c r="A70" s="438">
        <v>2</v>
      </c>
      <c r="B70" s="2" t="s">
        <v>258</v>
      </c>
      <c r="C70" s="145"/>
      <c r="D70" s="51">
        <v>0</v>
      </c>
      <c r="E70" s="49">
        <f t="shared" si="18"/>
        <v>0</v>
      </c>
      <c r="F70" s="18"/>
      <c r="G70" s="128"/>
      <c r="H70" s="55">
        <f t="shared" si="19"/>
        <v>2</v>
      </c>
      <c r="I70" s="2" t="str">
        <f t="shared" si="20"/>
        <v>sucralose</v>
      </c>
      <c r="J70" s="49">
        <f t="shared" si="21"/>
        <v>0</v>
      </c>
      <c r="L70" s="154"/>
      <c r="M70" s="412"/>
      <c r="O70" s="45"/>
      <c r="P70"/>
      <c r="Q70"/>
    </row>
    <row r="71" spans="1:17">
      <c r="A71" s="438">
        <v>1</v>
      </c>
      <c r="B71" s="2" t="s">
        <v>210</v>
      </c>
      <c r="C71" s="53" t="s">
        <v>232</v>
      </c>
      <c r="D71" s="2">
        <v>146</v>
      </c>
      <c r="E71" s="49">
        <f t="shared" si="18"/>
        <v>1.46</v>
      </c>
      <c r="F71" s="18"/>
      <c r="G71" s="128"/>
      <c r="H71" s="55">
        <f t="shared" si="19"/>
        <v>0.85427135678391963</v>
      </c>
      <c r="I71" s="2" t="str">
        <f t="shared" si="20"/>
        <v>levure</v>
      </c>
      <c r="J71" s="49">
        <f t="shared" si="21"/>
        <v>1.2472361809045227</v>
      </c>
      <c r="L71" s="154"/>
      <c r="M71" s="412"/>
      <c r="O71" s="45"/>
      <c r="P71"/>
      <c r="Q71"/>
    </row>
    <row r="72" spans="1:17">
      <c r="A72" s="438">
        <v>32</v>
      </c>
      <c r="B72" s="2" t="s">
        <v>118</v>
      </c>
      <c r="C72" s="50" t="s">
        <v>229</v>
      </c>
      <c r="D72" s="164">
        <v>338</v>
      </c>
      <c r="E72" s="49">
        <f t="shared" si="18"/>
        <v>108.16</v>
      </c>
      <c r="F72" s="18"/>
      <c r="G72" s="128"/>
      <c r="H72" s="55">
        <f t="shared" si="19"/>
        <v>27.336683417085428</v>
      </c>
      <c r="I72" s="2" t="str">
        <f t="shared" si="20"/>
        <v>farine</v>
      </c>
      <c r="J72" s="49">
        <f t="shared" si="21"/>
        <v>92.397989949748748</v>
      </c>
      <c r="L72" s="154"/>
      <c r="M72" s="412"/>
      <c r="O72" s="45"/>
      <c r="P72"/>
      <c r="Q72"/>
    </row>
    <row r="73" spans="1:17">
      <c r="A73" s="438">
        <v>25</v>
      </c>
      <c r="B73" s="2" t="s">
        <v>0</v>
      </c>
      <c r="C73" s="52" t="s">
        <v>230</v>
      </c>
      <c r="D73" s="164">
        <v>747</v>
      </c>
      <c r="E73" s="49">
        <f t="shared" si="18"/>
        <v>186.75</v>
      </c>
      <c r="F73" s="18"/>
      <c r="G73" s="128"/>
      <c r="H73" s="55">
        <f t="shared" si="19"/>
        <v>21.356783919597991</v>
      </c>
      <c r="I73" s="2" t="str">
        <f t="shared" si="20"/>
        <v>beurre</v>
      </c>
      <c r="J73" s="49">
        <f t="shared" si="21"/>
        <v>159.535175879397</v>
      </c>
      <c r="L73" s="154"/>
      <c r="M73" s="412"/>
      <c r="O73" s="45"/>
      <c r="P73"/>
      <c r="Q73"/>
    </row>
    <row r="74" spans="1:17">
      <c r="A74" s="42"/>
      <c r="B74" s="157"/>
      <c r="C74" s="239"/>
      <c r="E74" s="180" t="s">
        <v>6</v>
      </c>
      <c r="F74" s="171">
        <f>SUM(E68:E73)</f>
        <v>336.7</v>
      </c>
      <c r="G74" s="25"/>
      <c r="H74" s="42"/>
      <c r="I74" s="157"/>
      <c r="J74" s="180" t="s">
        <v>6</v>
      </c>
      <c r="K74" s="336">
        <f>SUM(J68:J73)</f>
        <v>287.63316582914575</v>
      </c>
      <c r="O74" s="45"/>
      <c r="Q74"/>
    </row>
    <row r="75" spans="1:17">
      <c r="A75" s="54">
        <f>IF(D5="non",0,IF(D5="1 verre",125,250))</f>
        <v>0</v>
      </c>
      <c r="B75" s="2" t="str">
        <f>IF(A75=0,"","vin")</f>
        <v/>
      </c>
      <c r="C75" s="234"/>
      <c r="D75" s="51">
        <v>80</v>
      </c>
      <c r="E75" s="49">
        <f>D75/100*A75</f>
        <v>0</v>
      </c>
      <c r="F75" s="18" t="s">
        <v>12</v>
      </c>
      <c r="G75" s="142"/>
      <c r="H75" s="55">
        <f>IF(E75=0,A75,A75/E75*J75)</f>
        <v>0</v>
      </c>
      <c r="I75" s="2" t="str">
        <f>B75</f>
        <v/>
      </c>
      <c r="J75" s="49">
        <f>E75*$M$18%</f>
        <v>0</v>
      </c>
      <c r="O75" s="45"/>
      <c r="P75"/>
      <c r="Q75"/>
    </row>
    <row r="76" spans="1:17" ht="6" customHeight="1">
      <c r="A76" s="17"/>
      <c r="B76" s="17"/>
      <c r="C76" s="235"/>
      <c r="D76" s="68"/>
      <c r="E76" s="17"/>
      <c r="F76" s="165"/>
      <c r="G76" s="43"/>
      <c r="H76" s="17"/>
      <c r="I76" s="17"/>
      <c r="J76" s="17"/>
      <c r="P76"/>
      <c r="Q76"/>
    </row>
    <row r="77" spans="1:17">
      <c r="A77" s="17"/>
      <c r="B77" s="17"/>
      <c r="C77" s="235"/>
      <c r="D77" s="69" t="s">
        <v>129</v>
      </c>
      <c r="F77" s="146">
        <f>SUM(F22:F75)</f>
        <v>1989.6850000000002</v>
      </c>
      <c r="G77" s="130"/>
      <c r="H77" s="17"/>
      <c r="I77" s="69" t="s">
        <v>129</v>
      </c>
      <c r="K77" s="337">
        <f>SUM(K22:K75)</f>
        <v>1699.7309045226132</v>
      </c>
      <c r="P77"/>
      <c r="Q77"/>
    </row>
    <row r="78" spans="1:17">
      <c r="A78" s="17"/>
      <c r="B78" s="17"/>
      <c r="C78" s="235"/>
      <c r="D78" s="18" t="s">
        <v>130</v>
      </c>
      <c r="E78" s="25"/>
      <c r="F78" s="144">
        <f>F77+E75</f>
        <v>1989.6850000000002</v>
      </c>
      <c r="G78" s="43"/>
      <c r="H78" s="42"/>
      <c r="I78" s="18" t="s">
        <v>130</v>
      </c>
      <c r="J78" s="25"/>
      <c r="K78" s="336">
        <f>K77+J75</f>
        <v>1699.7309045226132</v>
      </c>
      <c r="P78"/>
      <c r="Q78"/>
    </row>
    <row r="79" spans="1:17">
      <c r="A79" s="17"/>
      <c r="B79" s="16"/>
      <c r="C79" s="228"/>
      <c r="D79" s="17"/>
      <c r="E79" s="17"/>
      <c r="F79" s="18"/>
      <c r="G79" s="43"/>
      <c r="H79" s="17"/>
      <c r="I79" s="17"/>
      <c r="J79" s="17"/>
      <c r="P79"/>
      <c r="Q79"/>
    </row>
    <row r="80" spans="1:17" ht="19">
      <c r="A80" s="118" t="s">
        <v>100</v>
      </c>
      <c r="B80" s="491" t="s">
        <v>99</v>
      </c>
      <c r="C80" s="491"/>
      <c r="D80" s="17"/>
      <c r="E80" s="17"/>
      <c r="F80" s="18"/>
      <c r="G80" s="18"/>
      <c r="H80" s="17"/>
      <c r="I80" s="17"/>
      <c r="J80" s="17"/>
      <c r="P80"/>
      <c r="Q80"/>
    </row>
    <row r="81" spans="1:17" ht="409" customHeight="1">
      <c r="A81" s="17"/>
      <c r="B81" s="16"/>
      <c r="C81" s="228"/>
      <c r="D81" s="17"/>
      <c r="E81" s="17"/>
      <c r="F81" s="18"/>
      <c r="G81" s="18"/>
      <c r="H81" s="17"/>
      <c r="I81" s="17"/>
      <c r="J81" s="17"/>
      <c r="P81"/>
      <c r="Q81"/>
    </row>
    <row r="82" spans="1:17">
      <c r="A82" s="17"/>
      <c r="B82" s="16"/>
      <c r="C82" s="228"/>
      <c r="D82" s="17"/>
      <c r="E82" s="17"/>
      <c r="F82" s="18"/>
      <c r="G82" s="18"/>
      <c r="H82" s="17"/>
      <c r="I82" s="17"/>
      <c r="J82" s="17"/>
      <c r="P82"/>
      <c r="Q82"/>
    </row>
    <row r="83" spans="1:17">
      <c r="A83" s="17"/>
      <c r="B83" s="16"/>
      <c r="C83" s="228"/>
      <c r="D83" s="17"/>
      <c r="E83" s="17"/>
      <c r="F83" s="18"/>
      <c r="G83" s="18"/>
      <c r="H83" s="17"/>
      <c r="I83" s="17"/>
      <c r="J83" s="17"/>
      <c r="P83"/>
      <c r="Q83"/>
    </row>
    <row r="84" spans="1:17">
      <c r="F84" s="18"/>
      <c r="G84" s="18"/>
    </row>
  </sheetData>
  <sheetProtection password="A5F4" sheet="1" objects="1" scenarios="1" selectLockedCells="1"/>
  <mergeCells count="8">
    <mergeCell ref="B80:C80"/>
    <mergeCell ref="D8:J8"/>
    <mergeCell ref="B15:J15"/>
    <mergeCell ref="A18:A19"/>
    <mergeCell ref="B18:B19"/>
    <mergeCell ref="D18:E18"/>
    <mergeCell ref="H18:H19"/>
    <mergeCell ref="I18:I19"/>
  </mergeCells>
  <dataValidations xWindow="777" yWindow="286" count="3">
    <dataValidation allowBlank="1" showErrorMessage="1" promptTitle="Objectif du jour" prompt="Entrez ici l'apport calorique souhaité._x000d_Arrondissez à la centaine inférieure ou supérieure l'estimation obtenue avec le calculateur du feuillet &quot;bilan&quot;." sqref="D7"/>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Modification des quantités" prompt="Vous pouvez diminuer ou augmenter la quantité,._x000d_Si vous désirez supprimer l'aliment, inscrivez 0 (zéro)." sqref="A1:A1048576"/>
  </dataValidations>
  <hyperlinks>
    <hyperlink ref="B80" location="sommaire!A1" display="RETOUR AU SOMMAIRE"/>
    <hyperlink ref="C80" location="sommaire!A1" display="sommaire!A1"/>
  </hyperlinks>
  <pageMargins left="0.75" right="0.75" top="1" bottom="1" header="0.5" footer="0.5"/>
  <ignoredErrors>
    <ignoredError sqref="K77 K48" emptyCellReference="1"/>
  </ignoredErrors>
  <extLst>
    <ext xmlns:x14="http://schemas.microsoft.com/office/spreadsheetml/2009/9/main" uri="{CCE6A557-97BC-4b89-ADB6-D9C93CAAB3DF}">
      <x14:dataValidations xmlns:xm="http://schemas.microsoft.com/office/excel/2006/main" xWindow="777" yWindow="286"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0"/>
  <sheetViews>
    <sheetView workbookViewId="0">
      <selection activeCell="D5" sqref="D5"/>
    </sheetView>
  </sheetViews>
  <sheetFormatPr baseColWidth="10" defaultRowHeight="15" x14ac:dyDescent="0"/>
  <cols>
    <col min="1" max="1" width="6.33203125" customWidth="1"/>
    <col min="2" max="2" width="28" style="5" customWidth="1"/>
    <col min="3" max="3" width="3.5" style="172" customWidth="1"/>
    <col min="4" max="4" width="8.1640625" customWidth="1"/>
    <col min="5" max="5" width="8.5" customWidth="1"/>
    <col min="6" max="6" width="7.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9.6640625" style="407" customWidth="1"/>
    <col min="14" max="14" width="3.33203125" style="44" customWidth="1"/>
    <col min="15" max="17" width="10.83203125" style="44"/>
  </cols>
  <sheetData>
    <row r="1" spans="1:17" ht="19">
      <c r="A1" s="119" t="s">
        <v>695</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ROUND(F73,0)</f>
        <v>1992</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36"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292</v>
      </c>
      <c r="E12" s="32" t="s">
        <v>7</v>
      </c>
      <c r="F12" s="32" t="str">
        <f>IF(M13&gt;0,d!A44,d!A45)</f>
        <v>de moins que les menus Pan Metron du jour</v>
      </c>
      <c r="G12" s="31"/>
      <c r="H12" s="33"/>
      <c r="I12" s="33"/>
      <c r="J12" s="34"/>
      <c r="M12" s="407" t="s">
        <v>132</v>
      </c>
      <c r="N12"/>
      <c r="O12"/>
      <c r="P12"/>
      <c r="Q12"/>
    </row>
    <row r="13" spans="1:17" ht="13" customHeight="1">
      <c r="A13" s="24"/>
      <c r="B13" s="35"/>
      <c r="C13" s="192"/>
      <c r="D13" s="37"/>
      <c r="E13" s="1"/>
      <c r="F13" s="38" t="str">
        <f>IF(D5="non","",d!A46)</f>
        <v/>
      </c>
      <c r="G13" s="39"/>
      <c r="H13" s="38"/>
      <c r="I13" s="38"/>
      <c r="J13" s="40"/>
      <c r="M13" s="408">
        <f>D3+E71-D11</f>
        <v>292</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IF(M13&lt;0,d!A48,d!A52)</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8</v>
      </c>
      <c r="O17" s="148"/>
      <c r="Q17"/>
    </row>
    <row r="18" spans="1:17">
      <c r="A18" s="485" t="s">
        <v>11</v>
      </c>
      <c r="B18" s="483" t="s">
        <v>227</v>
      </c>
      <c r="C18" s="322"/>
      <c r="D18" s="481" t="s">
        <v>7</v>
      </c>
      <c r="E18" s="482"/>
      <c r="F18" s="18"/>
      <c r="G18" s="43"/>
      <c r="H18" s="487" t="str">
        <f>A18</f>
        <v>g/cl</v>
      </c>
      <c r="I18" s="499" t="s">
        <v>227</v>
      </c>
      <c r="J18" s="70" t="s">
        <v>7</v>
      </c>
      <c r="M18" s="411">
        <f>100-(D12/((D11+D12)/100))</f>
        <v>85.341365461847388</v>
      </c>
      <c r="Q18"/>
    </row>
    <row r="19" spans="1:17" ht="12" customHeight="1">
      <c r="A19" s="486"/>
      <c r="B19" s="484"/>
      <c r="C19" s="73"/>
      <c r="D19" s="72" t="s">
        <v>22</v>
      </c>
      <c r="E19" s="73" t="s">
        <v>23</v>
      </c>
      <c r="F19" s="18"/>
      <c r="G19" s="43"/>
      <c r="H19" s="488"/>
      <c r="I19" s="500"/>
      <c r="J19" s="71" t="s">
        <v>23</v>
      </c>
      <c r="M19" s="269"/>
      <c r="Q19"/>
    </row>
    <row r="20" spans="1:17" ht="7" customHeight="1">
      <c r="A20" s="17"/>
      <c r="B20" s="16"/>
      <c r="C20" s="209"/>
      <c r="D20" s="17"/>
      <c r="E20" s="17"/>
      <c r="F20" s="18"/>
      <c r="G20" s="43"/>
      <c r="H20" s="17"/>
      <c r="I20" s="17"/>
      <c r="J20" s="17"/>
      <c r="L20" s="154"/>
      <c r="P20"/>
      <c r="Q20"/>
    </row>
    <row r="21" spans="1:17">
      <c r="A21" s="216" t="s">
        <v>244</v>
      </c>
      <c r="B21" s="16"/>
      <c r="C21" s="209"/>
      <c r="D21" s="17"/>
      <c r="E21" s="17"/>
      <c r="F21" s="18"/>
      <c r="G21" s="43"/>
      <c r="H21" s="17"/>
      <c r="I21" s="17"/>
      <c r="J21" s="17"/>
      <c r="L21" s="154"/>
      <c r="P21"/>
      <c r="Q21"/>
    </row>
    <row r="22" spans="1:17" s="167" customFormat="1">
      <c r="A22" s="438">
        <v>50</v>
      </c>
      <c r="B22" s="107" t="s">
        <v>160</v>
      </c>
      <c r="C22" s="196" t="s">
        <v>673</v>
      </c>
      <c r="D22" s="164">
        <v>382</v>
      </c>
      <c r="E22" s="49">
        <f t="shared" ref="E22:E27" si="0">D22/100*A22</f>
        <v>191</v>
      </c>
      <c r="F22" s="18"/>
      <c r="G22" s="43"/>
      <c r="H22" s="55">
        <f t="shared" ref="H22:H27" si="1">IF(E22=0,A22,A22/E22*J22)</f>
        <v>42.670682730923694</v>
      </c>
      <c r="I22" s="2" t="str">
        <f t="shared" ref="I22:I27" si="2">B22</f>
        <v>céréales au miel</v>
      </c>
      <c r="J22" s="49">
        <f t="shared" ref="J22:J27" si="3">E22*$M$18%</f>
        <v>163.00200803212851</v>
      </c>
      <c r="K22" s="228"/>
      <c r="L22" s="242"/>
      <c r="M22" s="407"/>
      <c r="N22" s="44"/>
      <c r="O22" s="44"/>
      <c r="P22" s="44"/>
    </row>
    <row r="23" spans="1:17">
      <c r="A23" s="438">
        <v>150</v>
      </c>
      <c r="B23" s="2" t="s">
        <v>1</v>
      </c>
      <c r="C23" s="218"/>
      <c r="D23" s="51">
        <v>0</v>
      </c>
      <c r="E23" s="49">
        <f t="shared" si="0"/>
        <v>0</v>
      </c>
      <c r="F23" s="18"/>
      <c r="G23" s="43"/>
      <c r="H23" s="55">
        <f t="shared" si="1"/>
        <v>150</v>
      </c>
      <c r="I23" s="2" t="str">
        <f t="shared" si="2"/>
        <v>café</v>
      </c>
      <c r="J23" s="49">
        <f t="shared" si="3"/>
        <v>0</v>
      </c>
      <c r="O23" s="45"/>
      <c r="Q23"/>
    </row>
    <row r="24" spans="1:17">
      <c r="A24" s="438">
        <v>4</v>
      </c>
      <c r="B24" s="2" t="s">
        <v>2</v>
      </c>
      <c r="C24" s="186" t="s">
        <v>674</v>
      </c>
      <c r="D24" s="51">
        <v>400</v>
      </c>
      <c r="E24" s="49">
        <f t="shared" si="0"/>
        <v>16</v>
      </c>
      <c r="F24" s="18"/>
      <c r="G24" s="43"/>
      <c r="H24" s="55">
        <f t="shared" si="1"/>
        <v>3.4136546184738954</v>
      </c>
      <c r="I24" s="2" t="str">
        <f t="shared" si="2"/>
        <v>sucre</v>
      </c>
      <c r="J24" s="49">
        <f t="shared" si="3"/>
        <v>13.654618473895582</v>
      </c>
      <c r="O24" s="45"/>
      <c r="Q24"/>
    </row>
    <row r="25" spans="1:17">
      <c r="A25" s="438">
        <v>12</v>
      </c>
      <c r="B25" s="2" t="s">
        <v>5</v>
      </c>
      <c r="C25" s="196" t="s">
        <v>673</v>
      </c>
      <c r="D25" s="51">
        <v>161</v>
      </c>
      <c r="E25" s="49">
        <f t="shared" si="0"/>
        <v>19.32</v>
      </c>
      <c r="F25" s="18"/>
      <c r="G25" s="43"/>
      <c r="H25" s="55">
        <f t="shared" si="1"/>
        <v>10.240963855421684</v>
      </c>
      <c r="I25" s="2" t="str">
        <f t="shared" si="2"/>
        <v>crème à café</v>
      </c>
      <c r="J25" s="49">
        <f t="shared" si="3"/>
        <v>16.487951807228914</v>
      </c>
      <c r="O25" s="45"/>
      <c r="Q25"/>
    </row>
    <row r="26" spans="1:17">
      <c r="A26" s="438">
        <v>125</v>
      </c>
      <c r="B26" s="2" t="s">
        <v>123</v>
      </c>
      <c r="C26" s="183" t="s">
        <v>675</v>
      </c>
      <c r="D26" s="51">
        <v>87</v>
      </c>
      <c r="E26" s="49">
        <f t="shared" si="0"/>
        <v>108.75</v>
      </c>
      <c r="F26" s="18"/>
      <c r="G26" s="43"/>
      <c r="H26" s="55">
        <f t="shared" si="1"/>
        <v>106.67670682730923</v>
      </c>
      <c r="I26" s="2" t="str">
        <f t="shared" si="2"/>
        <v>yogourt aux fruits</v>
      </c>
      <c r="J26" s="49">
        <f t="shared" si="3"/>
        <v>92.808734939759034</v>
      </c>
      <c r="O26" s="45"/>
      <c r="Q26"/>
    </row>
    <row r="27" spans="1:17">
      <c r="A27" s="438">
        <v>150</v>
      </c>
      <c r="B27" s="2" t="s">
        <v>103</v>
      </c>
      <c r="C27" s="183" t="s">
        <v>675</v>
      </c>
      <c r="D27" s="51">
        <v>45</v>
      </c>
      <c r="E27" s="49">
        <f t="shared" si="0"/>
        <v>67.5</v>
      </c>
      <c r="F27" s="18"/>
      <c r="G27" s="43"/>
      <c r="H27" s="55">
        <f t="shared" si="1"/>
        <v>128.01204819277109</v>
      </c>
      <c r="I27" s="125" t="str">
        <f t="shared" si="2"/>
        <v>jus d'orange maison</v>
      </c>
      <c r="J27" s="49">
        <f t="shared" si="3"/>
        <v>57.605421686746986</v>
      </c>
      <c r="O27" s="45"/>
      <c r="Q27"/>
    </row>
    <row r="28" spans="1:17">
      <c r="A28" s="17"/>
      <c r="B28" s="17"/>
      <c r="C28" s="188"/>
      <c r="D28" s="68"/>
      <c r="E28" s="17"/>
      <c r="F28" s="135">
        <f>SUM(E22:E27)</f>
        <v>402.57</v>
      </c>
      <c r="G28" s="128"/>
      <c r="H28" s="42"/>
      <c r="I28" s="131"/>
      <c r="J28" s="130" t="s">
        <v>6</v>
      </c>
      <c r="K28" s="336">
        <f>SUM(J22:J27)</f>
        <v>343.55873493975906</v>
      </c>
      <c r="O28" s="45"/>
      <c r="Q28"/>
    </row>
    <row r="29" spans="1:17">
      <c r="A29" s="216" t="s">
        <v>225</v>
      </c>
      <c r="B29" s="16"/>
      <c r="C29" s="209"/>
      <c r="D29" s="17"/>
      <c r="E29" s="17"/>
      <c r="F29" s="18"/>
      <c r="G29" s="43"/>
      <c r="H29" s="17"/>
      <c r="I29" s="17"/>
      <c r="J29" s="17"/>
      <c r="P29"/>
      <c r="Q29"/>
    </row>
    <row r="30" spans="1:17">
      <c r="A30" s="256" t="s">
        <v>280</v>
      </c>
      <c r="B30" s="257"/>
      <c r="C30" s="323"/>
      <c r="D30" s="257"/>
      <c r="E30" s="257"/>
      <c r="F30" s="257"/>
      <c r="G30" s="257"/>
      <c r="H30" s="257"/>
      <c r="I30" s="257"/>
      <c r="J30" s="258"/>
      <c r="L30" s="154"/>
      <c r="O30" s="45"/>
      <c r="Q30"/>
    </row>
    <row r="31" spans="1:17">
      <c r="A31" s="438">
        <v>90</v>
      </c>
      <c r="B31" s="2" t="s">
        <v>267</v>
      </c>
      <c r="C31" s="249" t="s">
        <v>677</v>
      </c>
      <c r="D31" s="51">
        <v>300</v>
      </c>
      <c r="E31" s="49">
        <f t="shared" ref="E31:E43" si="4">D31/100*A31</f>
        <v>270</v>
      </c>
      <c r="F31" s="68"/>
      <c r="G31" s="43"/>
      <c r="H31" s="55">
        <f t="shared" ref="H31:H43" si="5">IF(E31=0,A31,A31/E31*J31)</f>
        <v>76.807228915662648</v>
      </c>
      <c r="I31" s="2" t="str">
        <f t="shared" ref="I31:I45" si="6">B31</f>
        <v xml:space="preserve">merguez </v>
      </c>
      <c r="J31" s="49">
        <f t="shared" ref="J31:J43" si="7">E31*$M$18%</f>
        <v>230.42168674698794</v>
      </c>
      <c r="L31" s="154"/>
      <c r="O31" s="45"/>
      <c r="Q31"/>
    </row>
    <row r="32" spans="1:17">
      <c r="A32" s="438">
        <v>50</v>
      </c>
      <c r="B32" s="2" t="s">
        <v>268</v>
      </c>
      <c r="C32" s="196" t="s">
        <v>673</v>
      </c>
      <c r="D32" s="51">
        <v>361</v>
      </c>
      <c r="E32" s="49">
        <f t="shared" si="4"/>
        <v>180.5</v>
      </c>
      <c r="F32" s="68"/>
      <c r="G32" s="43"/>
      <c r="H32" s="55">
        <f t="shared" si="5"/>
        <v>42.670682730923694</v>
      </c>
      <c r="I32" s="2" t="str">
        <f t="shared" si="6"/>
        <v>semoule de couscous</v>
      </c>
      <c r="J32" s="49">
        <f t="shared" si="7"/>
        <v>154.04116465863453</v>
      </c>
      <c r="O32" s="45"/>
      <c r="Q32"/>
    </row>
    <row r="33" spans="1:17">
      <c r="A33" s="438">
        <v>62.5</v>
      </c>
      <c r="B33" s="2" t="s">
        <v>117</v>
      </c>
      <c r="C33" s="185" t="s">
        <v>676</v>
      </c>
      <c r="D33">
        <v>6</v>
      </c>
      <c r="E33" s="49">
        <f t="shared" si="4"/>
        <v>3.75</v>
      </c>
      <c r="F33" s="68"/>
      <c r="G33" s="43"/>
      <c r="H33" s="55">
        <f t="shared" si="5"/>
        <v>53.338353413654616</v>
      </c>
      <c r="I33" s="2" t="str">
        <f t="shared" si="6"/>
        <v>bouillon de légumes</v>
      </c>
      <c r="J33" s="49">
        <f t="shared" si="7"/>
        <v>3.2003012048192767</v>
      </c>
      <c r="O33" s="45"/>
      <c r="Q33"/>
    </row>
    <row r="34" spans="1:17">
      <c r="A34" s="438">
        <f>250/4</f>
        <v>62.5</v>
      </c>
      <c r="B34" s="2" t="s">
        <v>255</v>
      </c>
      <c r="C34" s="185" t="s">
        <v>676</v>
      </c>
      <c r="D34" s="51">
        <v>17</v>
      </c>
      <c r="E34" s="49">
        <f t="shared" si="4"/>
        <v>10.625</v>
      </c>
      <c r="F34" s="68"/>
      <c r="G34" s="43"/>
      <c r="H34" s="55">
        <f t="shared" si="5"/>
        <v>53.338353413654616</v>
      </c>
      <c r="I34" s="2" t="str">
        <f t="shared" si="6"/>
        <v>aubergine</v>
      </c>
      <c r="J34" s="49">
        <f t="shared" si="7"/>
        <v>9.0675200803212839</v>
      </c>
      <c r="O34" s="45"/>
      <c r="Q34"/>
    </row>
    <row r="35" spans="1:17">
      <c r="A35" s="438">
        <v>25</v>
      </c>
      <c r="B35" s="2" t="s">
        <v>271</v>
      </c>
      <c r="C35" s="185" t="s">
        <v>676</v>
      </c>
      <c r="D35" s="51">
        <v>29</v>
      </c>
      <c r="E35" s="49">
        <f t="shared" si="4"/>
        <v>7.2499999999999991</v>
      </c>
      <c r="F35" s="68"/>
      <c r="G35" s="43"/>
      <c r="H35" s="55">
        <f t="shared" si="5"/>
        <v>21.335341365461847</v>
      </c>
      <c r="I35" s="2" t="str">
        <f t="shared" si="6"/>
        <v>oignon</v>
      </c>
      <c r="J35" s="49">
        <f t="shared" si="7"/>
        <v>6.1872489959839347</v>
      </c>
      <c r="O35" s="45"/>
      <c r="Q35"/>
    </row>
    <row r="36" spans="1:17">
      <c r="A36" s="438">
        <v>2.5</v>
      </c>
      <c r="B36" s="2" t="s">
        <v>168</v>
      </c>
      <c r="C36" s="185" t="s">
        <v>676</v>
      </c>
      <c r="D36" s="51">
        <v>45</v>
      </c>
      <c r="E36" s="49">
        <f t="shared" si="4"/>
        <v>1.125</v>
      </c>
      <c r="F36" s="68"/>
      <c r="G36" s="43"/>
      <c r="H36" s="55">
        <f t="shared" si="5"/>
        <v>2.1335341365461846</v>
      </c>
      <c r="I36" s="2" t="str">
        <f t="shared" si="6"/>
        <v>piment</v>
      </c>
      <c r="J36" s="49">
        <f t="shared" si="7"/>
        <v>0.96009036144578308</v>
      </c>
      <c r="O36" s="45"/>
      <c r="Q36"/>
    </row>
    <row r="37" spans="1:17">
      <c r="A37" s="438">
        <v>6</v>
      </c>
      <c r="B37" s="2" t="s">
        <v>260</v>
      </c>
      <c r="C37" s="249" t="s">
        <v>677</v>
      </c>
      <c r="D37" s="51">
        <v>594</v>
      </c>
      <c r="E37" s="49">
        <f t="shared" si="4"/>
        <v>35.64</v>
      </c>
      <c r="F37" s="68"/>
      <c r="G37" s="43"/>
      <c r="H37" s="55">
        <f t="shared" si="5"/>
        <v>5.1204819277108431</v>
      </c>
      <c r="I37" s="2" t="str">
        <f t="shared" si="6"/>
        <v>pignons</v>
      </c>
      <c r="J37" s="49">
        <f t="shared" si="7"/>
        <v>30.415662650602407</v>
      </c>
      <c r="O37" s="45"/>
      <c r="Q37"/>
    </row>
    <row r="38" spans="1:17">
      <c r="A38" s="438">
        <v>4</v>
      </c>
      <c r="B38" s="2" t="s">
        <v>108</v>
      </c>
      <c r="C38" s="186" t="s">
        <v>674</v>
      </c>
      <c r="D38" s="51">
        <v>899</v>
      </c>
      <c r="E38" s="49">
        <f t="shared" si="4"/>
        <v>35.96</v>
      </c>
      <c r="F38" s="68"/>
      <c r="G38" s="43"/>
      <c r="H38" s="55">
        <f t="shared" si="5"/>
        <v>3.4136546184738954</v>
      </c>
      <c r="I38" s="2" t="str">
        <f t="shared" si="6"/>
        <v>huile d'olive</v>
      </c>
      <c r="J38" s="49">
        <f t="shared" si="7"/>
        <v>30.688755020080322</v>
      </c>
      <c r="O38" s="45"/>
      <c r="Q38"/>
    </row>
    <row r="39" spans="1:17">
      <c r="A39" s="438">
        <v>16</v>
      </c>
      <c r="B39" s="2" t="s">
        <v>269</v>
      </c>
      <c r="C39" s="249" t="s">
        <v>677</v>
      </c>
      <c r="D39" s="51">
        <v>275</v>
      </c>
      <c r="E39" s="49">
        <f t="shared" si="4"/>
        <v>44</v>
      </c>
      <c r="F39" s="68"/>
      <c r="G39" s="128"/>
      <c r="H39" s="55">
        <f t="shared" si="5"/>
        <v>13.65461847389558</v>
      </c>
      <c r="I39" s="2" t="str">
        <f t="shared" si="6"/>
        <v>abricots secs</v>
      </c>
      <c r="J39" s="49">
        <f t="shared" si="7"/>
        <v>37.550200803212846</v>
      </c>
      <c r="O39" s="45"/>
      <c r="Q39"/>
    </row>
    <row r="40" spans="1:17">
      <c r="A40" s="438">
        <v>25</v>
      </c>
      <c r="B40" s="2" t="s">
        <v>270</v>
      </c>
      <c r="C40" s="249" t="s">
        <v>677</v>
      </c>
      <c r="D40" s="51">
        <v>262</v>
      </c>
      <c r="E40" s="49">
        <f t="shared" si="4"/>
        <v>65.5</v>
      </c>
      <c r="F40" s="68"/>
      <c r="G40" s="128"/>
      <c r="H40" s="55">
        <f t="shared" si="5"/>
        <v>21.335341365461847</v>
      </c>
      <c r="I40" s="2" t="str">
        <f t="shared" si="6"/>
        <v>feta</v>
      </c>
      <c r="J40" s="49">
        <f t="shared" si="7"/>
        <v>55.898594377510037</v>
      </c>
      <c r="O40" s="45"/>
      <c r="Q40"/>
    </row>
    <row r="41" spans="1:17">
      <c r="A41" s="438">
        <v>2</v>
      </c>
      <c r="B41" s="2" t="s">
        <v>171</v>
      </c>
      <c r="C41" s="185" t="s">
        <v>676</v>
      </c>
      <c r="D41" s="51">
        <v>49</v>
      </c>
      <c r="E41" s="49">
        <f t="shared" si="4"/>
        <v>0.98</v>
      </c>
      <c r="F41" s="68"/>
      <c r="G41" s="128"/>
      <c r="H41" s="55">
        <f t="shared" si="5"/>
        <v>1.7068273092369477</v>
      </c>
      <c r="I41" s="2" t="str">
        <f t="shared" si="6"/>
        <v>menthe</v>
      </c>
      <c r="J41" s="49">
        <f t="shared" si="7"/>
        <v>0.83634538152610438</v>
      </c>
      <c r="O41" s="45"/>
      <c r="Q41"/>
    </row>
    <row r="42" spans="1:17">
      <c r="A42" s="438">
        <v>1</v>
      </c>
      <c r="B42" s="2" t="s">
        <v>109</v>
      </c>
      <c r="C42" s="186" t="s">
        <v>674</v>
      </c>
      <c r="D42" s="164">
        <v>0</v>
      </c>
      <c r="E42" s="49">
        <f t="shared" si="4"/>
        <v>0</v>
      </c>
      <c r="F42" s="68"/>
      <c r="G42" s="128"/>
      <c r="H42" s="55">
        <f t="shared" si="5"/>
        <v>1</v>
      </c>
      <c r="I42" s="2" t="str">
        <f t="shared" si="6"/>
        <v>sel</v>
      </c>
      <c r="J42" s="49">
        <f t="shared" si="7"/>
        <v>0</v>
      </c>
      <c r="O42" s="45"/>
      <c r="Q42"/>
    </row>
    <row r="43" spans="1:17">
      <c r="A43" s="444">
        <v>0.5</v>
      </c>
      <c r="B43" s="2" t="s">
        <v>116</v>
      </c>
      <c r="C43" s="183" t="s">
        <v>675</v>
      </c>
      <c r="D43" s="51">
        <v>222</v>
      </c>
      <c r="E43" s="49">
        <f t="shared" si="4"/>
        <v>1.1100000000000001</v>
      </c>
      <c r="F43" s="68"/>
      <c r="G43" s="128"/>
      <c r="H43" s="248">
        <f t="shared" si="5"/>
        <v>0.42670682730923692</v>
      </c>
      <c r="I43" s="2" t="str">
        <f t="shared" si="6"/>
        <v>poivre</v>
      </c>
      <c r="J43" s="247">
        <f t="shared" si="7"/>
        <v>0.94728915662650603</v>
      </c>
      <c r="O43" s="45"/>
      <c r="Q43"/>
    </row>
    <row r="44" spans="1:17">
      <c r="A44" s="262" t="s">
        <v>127</v>
      </c>
      <c r="B44" s="66"/>
      <c r="C44" s="324"/>
      <c r="D44" s="263"/>
      <c r="E44" s="264"/>
      <c r="F44" s="68"/>
      <c r="G44" s="128"/>
      <c r="H44" s="65"/>
      <c r="I44" s="66"/>
      <c r="J44" s="67"/>
      <c r="O44" s="45"/>
      <c r="P44"/>
      <c r="Q44"/>
    </row>
    <row r="45" spans="1:17">
      <c r="A45" s="438">
        <v>150</v>
      </c>
      <c r="B45" s="2" t="s">
        <v>261</v>
      </c>
      <c r="C45" s="183" t="s">
        <v>675</v>
      </c>
      <c r="D45" s="51">
        <v>53</v>
      </c>
      <c r="E45" s="49">
        <f>D45/100*A45</f>
        <v>79.5</v>
      </c>
      <c r="F45" s="18"/>
      <c r="G45" s="43"/>
      <c r="H45" s="55">
        <f>IF(E45=0,A45,A45/E45*J45)</f>
        <v>128.01204819277109</v>
      </c>
      <c r="I45" s="56" t="str">
        <f t="shared" si="6"/>
        <v>poire</v>
      </c>
      <c r="J45" s="49">
        <f>E45*$M$18%</f>
        <v>67.846385542168676</v>
      </c>
      <c r="O45" s="45"/>
      <c r="P45"/>
      <c r="Q45"/>
    </row>
    <row r="46" spans="1:17">
      <c r="A46" s="42"/>
      <c r="B46" s="131"/>
      <c r="C46" s="200"/>
      <c r="E46" s="130" t="s">
        <v>6</v>
      </c>
      <c r="F46" s="139">
        <f>SUM(E31:E45)</f>
        <v>735.94</v>
      </c>
      <c r="G46" s="43"/>
      <c r="H46" s="42"/>
      <c r="I46" s="131"/>
      <c r="J46" s="130" t="s">
        <v>6</v>
      </c>
      <c r="K46" s="336">
        <f>SUM(J31:J45)</f>
        <v>628.06124497991971</v>
      </c>
      <c r="O46" s="45"/>
      <c r="P46"/>
      <c r="Q46"/>
    </row>
    <row r="47" spans="1:17" ht="6" customHeight="1">
      <c r="A47" s="17"/>
      <c r="B47" s="17"/>
      <c r="C47" s="188"/>
      <c r="D47" s="68"/>
      <c r="E47" s="17"/>
      <c r="F47" s="18"/>
      <c r="G47" s="43"/>
      <c r="H47" s="17"/>
      <c r="I47" s="17"/>
      <c r="J47" s="17"/>
      <c r="O47" s="45"/>
      <c r="P47"/>
      <c r="Q47"/>
    </row>
    <row r="48" spans="1:17">
      <c r="A48" s="216" t="s">
        <v>228</v>
      </c>
      <c r="B48" s="16"/>
      <c r="C48" s="209"/>
      <c r="D48" s="17"/>
      <c r="E48" s="17"/>
      <c r="F48" s="18"/>
      <c r="G48" s="43"/>
      <c r="H48" s="17"/>
      <c r="I48" s="17"/>
      <c r="J48" s="17"/>
      <c r="P48"/>
      <c r="Q48"/>
    </row>
    <row r="49" spans="1:17">
      <c r="A49" s="438">
        <v>100</v>
      </c>
      <c r="B49" s="107" t="s">
        <v>279</v>
      </c>
      <c r="C49" s="185" t="s">
        <v>676</v>
      </c>
      <c r="D49" s="51">
        <v>112</v>
      </c>
      <c r="E49" s="49">
        <f>D49/100*A49</f>
        <v>112.00000000000001</v>
      </c>
      <c r="F49" s="18"/>
      <c r="G49" s="43"/>
      <c r="H49" s="55">
        <f>IF(E49=0,A49,A49/E49*J49)</f>
        <v>85.341365461847388</v>
      </c>
      <c r="I49" s="2" t="str">
        <f>B49</f>
        <v>petit-suisse</v>
      </c>
      <c r="J49" s="49">
        <f>E49*$M$18%</f>
        <v>95.582329317269085</v>
      </c>
    </row>
    <row r="50" spans="1:17">
      <c r="A50" s="438">
        <v>8</v>
      </c>
      <c r="B50" s="107" t="s">
        <v>2</v>
      </c>
      <c r="C50" s="186" t="s">
        <v>674</v>
      </c>
      <c r="D50" s="51">
        <v>400</v>
      </c>
      <c r="E50" s="49">
        <f>D50/100*A50</f>
        <v>32</v>
      </c>
      <c r="F50" s="18"/>
      <c r="G50" s="43"/>
      <c r="H50" s="55">
        <f>IF(E50=0,A50,A50/E50*J50)</f>
        <v>6.8273092369477908</v>
      </c>
      <c r="I50" s="2" t="str">
        <f>B50</f>
        <v>sucre</v>
      </c>
      <c r="J50" s="49">
        <f>E50*$M$18%</f>
        <v>27.309236947791163</v>
      </c>
      <c r="L50" s="154"/>
    </row>
    <row r="51" spans="1:17">
      <c r="A51" s="42"/>
      <c r="B51" s="157"/>
      <c r="C51" s="272"/>
      <c r="E51" s="130" t="s">
        <v>6</v>
      </c>
      <c r="F51" s="159">
        <f>SUM(E49:E50)</f>
        <v>144</v>
      </c>
      <c r="G51" s="140"/>
      <c r="H51" s="42"/>
      <c r="I51" s="131"/>
      <c r="J51" s="130" t="s">
        <v>6</v>
      </c>
      <c r="K51" s="336">
        <f>SUM(J49:J50)</f>
        <v>122.89156626506025</v>
      </c>
      <c r="O51" s="45"/>
      <c r="Q51"/>
    </row>
    <row r="52" spans="1:17" ht="6" customHeight="1">
      <c r="A52" s="17"/>
      <c r="B52" s="17"/>
      <c r="C52" s="188"/>
      <c r="D52" s="68"/>
      <c r="E52" s="17"/>
      <c r="F52" s="18"/>
      <c r="G52" s="43"/>
      <c r="H52" s="17"/>
      <c r="I52" s="17"/>
      <c r="J52" s="17"/>
      <c r="O52" s="45"/>
      <c r="P52"/>
      <c r="Q52"/>
    </row>
    <row r="53" spans="1:17">
      <c r="A53" s="216" t="s">
        <v>226</v>
      </c>
      <c r="B53" s="16"/>
      <c r="C53" s="209"/>
      <c r="D53" s="17"/>
      <c r="E53" s="17"/>
      <c r="F53" s="18"/>
      <c r="G53" s="43"/>
      <c r="H53" s="17"/>
      <c r="I53" s="17"/>
      <c r="J53" s="17"/>
      <c r="P53"/>
      <c r="Q53"/>
    </row>
    <row r="54" spans="1:17">
      <c r="A54" s="256" t="s">
        <v>332</v>
      </c>
      <c r="B54" s="257"/>
      <c r="C54" s="323"/>
      <c r="D54" s="257"/>
      <c r="E54" s="257"/>
      <c r="F54" s="257"/>
      <c r="G54" s="257"/>
      <c r="H54" s="257"/>
      <c r="I54" s="257"/>
      <c r="J54" s="258"/>
      <c r="L54" s="154"/>
      <c r="O54" s="45"/>
      <c r="Q54"/>
    </row>
    <row r="55" spans="1:17">
      <c r="A55" s="438">
        <v>20</v>
      </c>
      <c r="B55" s="2" t="s">
        <v>271</v>
      </c>
      <c r="C55" s="185" t="s">
        <v>676</v>
      </c>
      <c r="D55" s="51">
        <v>29</v>
      </c>
      <c r="E55" s="49">
        <f t="shared" ref="E55:E66" si="8">D55/100*A55</f>
        <v>5.8</v>
      </c>
      <c r="F55" s="68"/>
      <c r="G55" s="128"/>
      <c r="H55" s="55">
        <f t="shared" ref="H55:H66" si="9">IF(E55=0,A55,A55/E55*J55)</f>
        <v>17.068273092369477</v>
      </c>
      <c r="I55" s="2" t="str">
        <f t="shared" ref="I55:I69" si="10">B55</f>
        <v>oignon</v>
      </c>
      <c r="J55" s="49">
        <f t="shared" ref="J55:J66" si="11">E55*$M$18%</f>
        <v>4.949799196787148</v>
      </c>
      <c r="L55" s="154"/>
      <c r="O55" s="45"/>
      <c r="P55"/>
      <c r="Q55"/>
    </row>
    <row r="56" spans="1:17">
      <c r="A56" s="438">
        <v>30</v>
      </c>
      <c r="B56" s="2" t="s">
        <v>272</v>
      </c>
      <c r="C56" s="183" t="s">
        <v>675</v>
      </c>
      <c r="D56" s="51">
        <v>332</v>
      </c>
      <c r="E56" s="49">
        <f t="shared" si="8"/>
        <v>99.6</v>
      </c>
      <c r="F56" s="169"/>
      <c r="G56" s="128"/>
      <c r="H56" s="55">
        <f t="shared" si="9"/>
        <v>25.602409638554214</v>
      </c>
      <c r="I56" s="2" t="str">
        <f t="shared" si="10"/>
        <v xml:space="preserve">lentilles </v>
      </c>
      <c r="J56" s="49">
        <f t="shared" si="11"/>
        <v>84.999999999999986</v>
      </c>
      <c r="O56" s="45"/>
      <c r="P56"/>
      <c r="Q56"/>
    </row>
    <row r="57" spans="1:17">
      <c r="A57" s="438">
        <v>1</v>
      </c>
      <c r="B57" s="2" t="s">
        <v>176</v>
      </c>
      <c r="C57" s="185" t="s">
        <v>676</v>
      </c>
      <c r="D57" s="51">
        <v>82</v>
      </c>
      <c r="E57" s="49">
        <f t="shared" si="8"/>
        <v>0.82</v>
      </c>
      <c r="F57" s="169"/>
      <c r="G57" s="128"/>
      <c r="H57" s="55">
        <f t="shared" si="9"/>
        <v>0.85341365461847374</v>
      </c>
      <c r="I57" s="2" t="str">
        <f t="shared" si="10"/>
        <v>gingembre</v>
      </c>
      <c r="J57" s="49">
        <f t="shared" si="11"/>
        <v>0.69979919678714853</v>
      </c>
      <c r="O57" s="45"/>
      <c r="P57"/>
      <c r="Q57"/>
    </row>
    <row r="58" spans="1:17">
      <c r="A58" s="438">
        <v>2.5</v>
      </c>
      <c r="B58" s="2" t="s">
        <v>273</v>
      </c>
      <c r="C58" s="185" t="s">
        <v>676</v>
      </c>
      <c r="D58" s="51">
        <v>45</v>
      </c>
      <c r="E58" s="49">
        <f t="shared" si="8"/>
        <v>1.125</v>
      </c>
      <c r="F58" s="169"/>
      <c r="G58" s="128"/>
      <c r="H58" s="55">
        <f t="shared" si="9"/>
        <v>2.1335341365461846</v>
      </c>
      <c r="I58" s="2" t="str">
        <f t="shared" si="10"/>
        <v>piment rouge</v>
      </c>
      <c r="J58" s="49">
        <f t="shared" si="11"/>
        <v>0.96009036144578308</v>
      </c>
      <c r="O58" s="45"/>
      <c r="P58"/>
      <c r="Q58"/>
    </row>
    <row r="59" spans="1:17">
      <c r="A59" s="438">
        <f>18/4</f>
        <v>4.5</v>
      </c>
      <c r="B59" s="2" t="s">
        <v>108</v>
      </c>
      <c r="C59" s="186" t="s">
        <v>674</v>
      </c>
      <c r="D59" s="51">
        <v>899</v>
      </c>
      <c r="E59" s="49">
        <f t="shared" si="8"/>
        <v>40.454999999999998</v>
      </c>
      <c r="F59" s="169"/>
      <c r="G59" s="128"/>
      <c r="H59" s="55">
        <f t="shared" si="9"/>
        <v>3.8403614457831323</v>
      </c>
      <c r="I59" s="2" t="str">
        <f t="shared" si="10"/>
        <v>huile d'olive</v>
      </c>
      <c r="J59" s="49">
        <f t="shared" si="11"/>
        <v>34.524849397590359</v>
      </c>
      <c r="O59" s="45"/>
      <c r="P59"/>
      <c r="Q59"/>
    </row>
    <row r="60" spans="1:17">
      <c r="A60" s="438">
        <v>75</v>
      </c>
      <c r="B60" s="2" t="s">
        <v>274</v>
      </c>
      <c r="C60" s="185" t="s">
        <v>676</v>
      </c>
      <c r="D60" s="51">
        <v>13</v>
      </c>
      <c r="E60" s="49">
        <f t="shared" si="8"/>
        <v>9.75</v>
      </c>
      <c r="F60" s="170"/>
      <c r="G60" s="128"/>
      <c r="H60" s="55">
        <f t="shared" si="9"/>
        <v>64.006024096385545</v>
      </c>
      <c r="I60" s="2" t="str">
        <f t="shared" si="10"/>
        <v xml:space="preserve"> laitue romaine</v>
      </c>
      <c r="J60" s="49">
        <f t="shared" si="11"/>
        <v>8.3207831325301207</v>
      </c>
      <c r="O60" s="45"/>
      <c r="P60"/>
      <c r="Q60"/>
    </row>
    <row r="61" spans="1:17">
      <c r="A61" s="438">
        <v>150</v>
      </c>
      <c r="B61" s="2" t="s">
        <v>275</v>
      </c>
      <c r="C61" s="185" t="s">
        <v>676</v>
      </c>
      <c r="D61" s="51">
        <v>26</v>
      </c>
      <c r="E61" s="49">
        <f t="shared" si="8"/>
        <v>39</v>
      </c>
      <c r="F61" s="169"/>
      <c r="G61" s="128"/>
      <c r="H61" s="55">
        <f t="shared" si="9"/>
        <v>128.01204819277109</v>
      </c>
      <c r="I61" s="2" t="str">
        <f t="shared" si="10"/>
        <v>chou-fleur</v>
      </c>
      <c r="J61" s="49">
        <f t="shared" si="11"/>
        <v>33.283132530120483</v>
      </c>
      <c r="O61" s="45"/>
      <c r="P61"/>
      <c r="Q61"/>
    </row>
    <row r="62" spans="1:17">
      <c r="A62" s="438">
        <v>150</v>
      </c>
      <c r="B62" s="2" t="s">
        <v>276</v>
      </c>
      <c r="C62" s="185" t="s">
        <v>676</v>
      </c>
      <c r="D62" s="51">
        <v>125</v>
      </c>
      <c r="E62" s="49">
        <f t="shared" si="8"/>
        <v>187.5</v>
      </c>
      <c r="F62" s="170"/>
      <c r="G62" s="128"/>
      <c r="H62" s="161">
        <f t="shared" si="9"/>
        <v>128.01204819277106</v>
      </c>
      <c r="I62" s="2" t="str">
        <f t="shared" si="10"/>
        <v>filets de truite</v>
      </c>
      <c r="J62" s="49">
        <f t="shared" si="11"/>
        <v>160.01506024096383</v>
      </c>
      <c r="O62" s="45"/>
      <c r="P62"/>
      <c r="Q62"/>
    </row>
    <row r="63" spans="1:17">
      <c r="A63" s="438">
        <v>6</v>
      </c>
      <c r="B63" s="2" t="s">
        <v>198</v>
      </c>
      <c r="C63" s="325"/>
      <c r="D63" s="51">
        <v>77</v>
      </c>
      <c r="E63" s="49">
        <f t="shared" si="8"/>
        <v>4.62</v>
      </c>
      <c r="F63" s="169"/>
      <c r="G63" s="128"/>
      <c r="H63" s="55">
        <f t="shared" si="9"/>
        <v>5.1204819277108431</v>
      </c>
      <c r="I63" s="2" t="str">
        <f t="shared" si="10"/>
        <v>sauce soja</v>
      </c>
      <c r="J63" s="49">
        <f t="shared" si="11"/>
        <v>3.9427710843373491</v>
      </c>
      <c r="O63" s="45"/>
      <c r="P63"/>
      <c r="Q63"/>
    </row>
    <row r="64" spans="1:17">
      <c r="A64" s="438">
        <v>2</v>
      </c>
      <c r="B64" s="2" t="s">
        <v>109</v>
      </c>
      <c r="C64" s="186" t="s">
        <v>674</v>
      </c>
      <c r="D64" s="51">
        <v>0</v>
      </c>
      <c r="E64" s="49">
        <f t="shared" si="8"/>
        <v>0</v>
      </c>
      <c r="F64" s="169"/>
      <c r="G64" s="128"/>
      <c r="H64" s="161">
        <f t="shared" si="9"/>
        <v>2</v>
      </c>
      <c r="I64" s="2" t="str">
        <f t="shared" si="10"/>
        <v>sel</v>
      </c>
      <c r="J64" s="49">
        <f t="shared" si="11"/>
        <v>0</v>
      </c>
      <c r="K64" s="275"/>
      <c r="O64" s="45"/>
      <c r="P64"/>
      <c r="Q64"/>
    </row>
    <row r="65" spans="1:17">
      <c r="A65" s="438">
        <v>50</v>
      </c>
      <c r="B65" s="2" t="s">
        <v>265</v>
      </c>
      <c r="C65" s="185" t="s">
        <v>676</v>
      </c>
      <c r="D65" s="51">
        <v>20</v>
      </c>
      <c r="E65" s="49">
        <f t="shared" si="8"/>
        <v>10</v>
      </c>
      <c r="F65" s="169"/>
      <c r="G65" s="128"/>
      <c r="H65" s="55">
        <f t="shared" si="9"/>
        <v>42.670682730923694</v>
      </c>
      <c r="I65" s="2" t="str">
        <f t="shared" si="10"/>
        <v>mâche</v>
      </c>
      <c r="J65" s="49">
        <f t="shared" si="11"/>
        <v>8.5341365461847385</v>
      </c>
      <c r="O65" s="45"/>
      <c r="P65"/>
      <c r="Q65"/>
    </row>
    <row r="66" spans="1:17">
      <c r="A66" s="438">
        <v>12</v>
      </c>
      <c r="B66" s="2" t="s">
        <v>266</v>
      </c>
      <c r="C66" s="186" t="s">
        <v>674</v>
      </c>
      <c r="D66" s="51">
        <v>446</v>
      </c>
      <c r="E66" s="49">
        <f t="shared" si="8"/>
        <v>53.519999999999996</v>
      </c>
      <c r="F66" s="169"/>
      <c r="G66" s="128"/>
      <c r="H66" s="55">
        <f t="shared" si="9"/>
        <v>10.240963855421686</v>
      </c>
      <c r="I66" s="2" t="str">
        <f t="shared" si="10"/>
        <v>sauce à salade française</v>
      </c>
      <c r="J66" s="49">
        <f t="shared" si="11"/>
        <v>45.674698795180717</v>
      </c>
      <c r="O66" s="45"/>
      <c r="P66"/>
      <c r="Q66"/>
    </row>
    <row r="67" spans="1:17">
      <c r="A67" s="163"/>
      <c r="B67" s="66" t="s">
        <v>127</v>
      </c>
      <c r="C67" s="326"/>
      <c r="D67" s="63"/>
      <c r="E67" s="64"/>
      <c r="F67" s="68"/>
      <c r="G67" s="128"/>
      <c r="H67" s="65"/>
      <c r="I67" s="66"/>
      <c r="J67" s="67"/>
      <c r="L67" s="154"/>
      <c r="O67" s="45"/>
      <c r="P67"/>
      <c r="Q67"/>
    </row>
    <row r="68" spans="1:17">
      <c r="A68" s="438">
        <v>80</v>
      </c>
      <c r="B68" s="2" t="s">
        <v>277</v>
      </c>
      <c r="C68" s="249" t="s">
        <v>677</v>
      </c>
      <c r="D68" s="51">
        <v>203</v>
      </c>
      <c r="E68" s="49">
        <f>D68/100*A68</f>
        <v>162.39999999999998</v>
      </c>
      <c r="F68" s="18"/>
      <c r="G68" s="43"/>
      <c r="H68" s="55">
        <f>IF(E68=0,A68,A68/E68*J68)</f>
        <v>68.273092369477908</v>
      </c>
      <c r="I68" s="56" t="str">
        <f t="shared" si="10"/>
        <v>glace</v>
      </c>
      <c r="J68" s="49">
        <f>E68*$M$18%</f>
        <v>138.59437751004015</v>
      </c>
      <c r="L68" s="154"/>
      <c r="O68" s="45"/>
      <c r="P68"/>
      <c r="Q68"/>
    </row>
    <row r="69" spans="1:17">
      <c r="A69" s="438">
        <v>20</v>
      </c>
      <c r="B69" s="2" t="s">
        <v>278</v>
      </c>
      <c r="C69" s="186" t="s">
        <v>674</v>
      </c>
      <c r="D69" s="51">
        <v>475</v>
      </c>
      <c r="E69" s="49">
        <f>D69/100*A69</f>
        <v>95</v>
      </c>
      <c r="F69" s="68"/>
      <c r="G69" s="43"/>
      <c r="H69" s="55">
        <f>IF(E69=0,A69,A69/E69*J69)</f>
        <v>17.068273092369473</v>
      </c>
      <c r="I69" s="168" t="str">
        <f t="shared" si="10"/>
        <v>sablé</v>
      </c>
      <c r="J69" s="49">
        <f>E69*$M$18%</f>
        <v>81.074297188755011</v>
      </c>
      <c r="L69" s="154"/>
      <c r="O69" s="45"/>
      <c r="P69"/>
      <c r="Q69"/>
    </row>
    <row r="70" spans="1:17">
      <c r="A70" s="42"/>
      <c r="B70" s="157"/>
      <c r="C70" s="200"/>
      <c r="E70" s="143" t="s">
        <v>6</v>
      </c>
      <c r="F70" s="138">
        <f>SUM(E55:E69)</f>
        <v>709.58999999999992</v>
      </c>
      <c r="G70" s="25"/>
      <c r="H70" s="42"/>
      <c r="I70" s="131"/>
      <c r="J70" s="143" t="s">
        <v>6</v>
      </c>
      <c r="K70" s="336">
        <f>SUM(J55:J69)</f>
        <v>605.57379518072275</v>
      </c>
      <c r="L70" s="154"/>
      <c r="O70" s="45"/>
      <c r="Q70"/>
    </row>
    <row r="71" spans="1:17">
      <c r="A71" s="54">
        <f>IF(D5="non",0,IF(D5="1 verre",125,250))</f>
        <v>0</v>
      </c>
      <c r="B71" s="2" t="str">
        <f>IF(A71=0,"","vin")</f>
        <v/>
      </c>
      <c r="C71" s="327"/>
      <c r="D71" s="51">
        <v>80</v>
      </c>
      <c r="E71" s="49">
        <f>D71/100*A71</f>
        <v>0</v>
      </c>
      <c r="F71" s="136" t="s">
        <v>12</v>
      </c>
      <c r="G71" s="142"/>
      <c r="H71" s="55">
        <f>IF(E71=0,A71,A71/E71*J71)</f>
        <v>0</v>
      </c>
      <c r="I71" s="2" t="str">
        <f>B71</f>
        <v/>
      </c>
      <c r="J71" s="49">
        <f>E71*$M$18%</f>
        <v>0</v>
      </c>
      <c r="L71" s="154"/>
      <c r="O71" s="45"/>
      <c r="P71"/>
      <c r="Q71"/>
    </row>
    <row r="72" spans="1:17" ht="6" customHeight="1">
      <c r="A72" s="17"/>
      <c r="B72" s="17"/>
      <c r="C72" s="188"/>
      <c r="D72" s="68"/>
      <c r="E72" s="17"/>
      <c r="F72" s="18"/>
      <c r="G72" s="43"/>
      <c r="H72" s="17"/>
      <c r="I72" s="17"/>
      <c r="J72" s="17"/>
      <c r="L72" s="154"/>
      <c r="P72"/>
      <c r="Q72"/>
    </row>
    <row r="73" spans="1:17">
      <c r="A73" s="17"/>
      <c r="B73" s="17"/>
      <c r="C73" s="188"/>
      <c r="D73" s="69" t="s">
        <v>129</v>
      </c>
      <c r="F73" s="138">
        <f>SUM(F17:F70)</f>
        <v>1992.1</v>
      </c>
      <c r="G73" s="130"/>
      <c r="H73" s="17"/>
      <c r="I73" s="69" t="s">
        <v>129</v>
      </c>
      <c r="K73" s="336"/>
      <c r="L73" s="154"/>
      <c r="P73"/>
      <c r="Q73"/>
    </row>
    <row r="74" spans="1:17">
      <c r="A74" s="17"/>
      <c r="B74" s="17"/>
      <c r="C74" s="188"/>
      <c r="D74" s="18" t="s">
        <v>130</v>
      </c>
      <c r="E74" s="25"/>
      <c r="F74" s="144">
        <f>F73+E71</f>
        <v>1992.1</v>
      </c>
      <c r="G74" s="43"/>
      <c r="H74" s="42"/>
      <c r="I74" s="18" t="s">
        <v>130</v>
      </c>
      <c r="J74" s="25"/>
      <c r="K74" s="336">
        <f>K73+J71</f>
        <v>0</v>
      </c>
      <c r="P74"/>
      <c r="Q74"/>
    </row>
    <row r="75" spans="1:17">
      <c r="A75" s="17"/>
      <c r="B75" s="16"/>
      <c r="C75" s="188"/>
      <c r="D75" s="17"/>
      <c r="E75" s="17"/>
      <c r="F75" s="18"/>
      <c r="G75" s="43"/>
      <c r="H75" s="17"/>
      <c r="I75" s="17"/>
      <c r="J75" s="17"/>
      <c r="P75"/>
      <c r="Q75"/>
    </row>
    <row r="76" spans="1:17" ht="19">
      <c r="A76" s="118" t="s">
        <v>100</v>
      </c>
      <c r="B76" s="491" t="s">
        <v>99</v>
      </c>
      <c r="C76" s="491"/>
      <c r="D76" s="17"/>
      <c r="E76" s="17"/>
      <c r="F76" s="169"/>
      <c r="G76" s="18"/>
      <c r="H76" s="17"/>
      <c r="I76" s="17"/>
      <c r="J76" s="17"/>
      <c r="P76"/>
      <c r="Q76"/>
    </row>
    <row r="77" spans="1:17" ht="409" customHeight="1">
      <c r="A77" s="17"/>
      <c r="B77" s="16"/>
      <c r="C77" s="228"/>
      <c r="D77" s="17"/>
      <c r="E77" s="17"/>
      <c r="F77" s="18"/>
      <c r="G77" s="18"/>
      <c r="H77" s="17"/>
      <c r="I77" s="17"/>
      <c r="J77" s="17"/>
      <c r="K77" s="18"/>
      <c r="P77"/>
      <c r="Q77"/>
    </row>
    <row r="78" spans="1:17">
      <c r="A78" s="17"/>
      <c r="B78" s="16"/>
      <c r="C78" s="188"/>
      <c r="D78" s="17"/>
      <c r="E78" s="17"/>
      <c r="F78" s="18"/>
      <c r="G78" s="18"/>
      <c r="H78" s="17"/>
      <c r="I78" s="17"/>
      <c r="J78" s="17"/>
      <c r="P78"/>
      <c r="Q78"/>
    </row>
    <row r="79" spans="1:17">
      <c r="A79" s="17"/>
      <c r="B79" s="16"/>
      <c r="C79" s="188"/>
      <c r="D79" s="17"/>
      <c r="E79" s="17"/>
      <c r="F79" s="18"/>
      <c r="G79" s="18"/>
      <c r="H79" s="17"/>
      <c r="I79" s="17"/>
      <c r="J79" s="17"/>
      <c r="P79"/>
      <c r="Q79"/>
    </row>
    <row r="80" spans="1:17">
      <c r="F80" s="18"/>
      <c r="G80" s="18"/>
    </row>
  </sheetData>
  <sheetProtection password="A5F4" sheet="1" objects="1" scenarios="1" selectLockedCells="1"/>
  <mergeCells count="8">
    <mergeCell ref="B76:C76"/>
    <mergeCell ref="D8:J8"/>
    <mergeCell ref="B15:J15"/>
    <mergeCell ref="A18:A19"/>
    <mergeCell ref="B18:B19"/>
    <mergeCell ref="D18:E18"/>
    <mergeCell ref="H18:H19"/>
    <mergeCell ref="I18:I19"/>
  </mergeCells>
  <dataValidations xWindow="90" yWindow="700" count="3">
    <dataValidation allowBlank="1" showErrorMessage="1" promptTitle="Objectif du jour" prompt="Entrez ici l'apport calorique souhaité._x000d_Arrondissez à la centaine inférieure ou supérieure l'estimation obtenue avec le calculateur du feuillet &quot;bilan&quot;." sqref="D7"/>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Modification des quantités" prompt="Vous pouvez diminuer ou augmenter la quantité,._x000d_Si vous désirez supprimer l'aliment, inscrivez 0 (zéro)." sqref="A1:A1048576"/>
  </dataValidations>
  <hyperlinks>
    <hyperlink ref="B76" location="sommaire!A1" display="RETOUR AU SOMMAIRE"/>
    <hyperlink ref="C76"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90" yWindow="700"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5"/>
  <sheetViews>
    <sheetView workbookViewId="0">
      <selection activeCell="D5" sqref="D5"/>
    </sheetView>
  </sheetViews>
  <sheetFormatPr baseColWidth="10" defaultRowHeight="15" x14ac:dyDescent="0"/>
  <cols>
    <col min="1" max="1" width="6.33203125" customWidth="1"/>
    <col min="2" max="2" width="24.8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124" customWidth="1"/>
    <col min="12" max="12" width="166.33203125" style="242" customWidth="1"/>
    <col min="13" max="13" width="6.6640625" style="407" customWidth="1"/>
    <col min="14" max="14" width="3.33203125" style="44" customWidth="1"/>
    <col min="15" max="17" width="10.83203125" style="44"/>
  </cols>
  <sheetData>
    <row r="1" spans="1:17" ht="19">
      <c r="A1" s="207" t="s">
        <v>748</v>
      </c>
      <c r="B1" s="120"/>
      <c r="C1" s="187"/>
      <c r="D1" s="121"/>
      <c r="E1" s="121"/>
      <c r="F1" s="122"/>
      <c r="G1" s="122"/>
      <c r="H1" s="122"/>
      <c r="I1" s="123" t="s">
        <v>101</v>
      </c>
      <c r="J1" s="266" t="s">
        <v>676</v>
      </c>
      <c r="K1" s="154"/>
      <c r="N1"/>
      <c r="O1"/>
      <c r="P1"/>
      <c r="Q1"/>
    </row>
    <row r="2" spans="1:17">
      <c r="A2" s="17"/>
      <c r="B2" s="16" t="s">
        <v>12</v>
      </c>
      <c r="C2" s="188"/>
      <c r="D2" s="17"/>
      <c r="E2" s="17"/>
      <c r="F2" s="18"/>
      <c r="G2" s="18"/>
      <c r="H2" s="17"/>
      <c r="I2" s="17"/>
      <c r="J2" s="17"/>
      <c r="K2" s="154"/>
      <c r="N2"/>
      <c r="O2"/>
      <c r="P2"/>
      <c r="Q2"/>
    </row>
    <row r="3" spans="1:17">
      <c r="A3" s="16" t="s">
        <v>19</v>
      </c>
      <c r="B3" s="16"/>
      <c r="C3" s="188"/>
      <c r="D3" s="15">
        <f>ROUND(F78,0)</f>
        <v>1969</v>
      </c>
      <c r="E3" s="17" t="s">
        <v>9</v>
      </c>
      <c r="F3" s="18"/>
      <c r="G3" s="18"/>
      <c r="H3" s="42"/>
      <c r="I3" s="42"/>
      <c r="J3" s="42"/>
      <c r="K3" s="154"/>
      <c r="N3"/>
      <c r="O3"/>
      <c r="P3"/>
      <c r="Q3"/>
    </row>
    <row r="4" spans="1:17" ht="12" customHeight="1">
      <c r="A4" s="24" t="s">
        <v>26</v>
      </c>
      <c r="B4" s="16"/>
      <c r="C4" s="188"/>
      <c r="D4" s="19"/>
      <c r="E4" s="17"/>
      <c r="F4" s="18"/>
      <c r="G4" s="18"/>
      <c r="H4" s="17"/>
      <c r="I4" s="17"/>
      <c r="J4" s="17"/>
      <c r="K4" s="154"/>
      <c r="N4"/>
      <c r="O4"/>
      <c r="P4"/>
      <c r="Q4"/>
    </row>
    <row r="5" spans="1:17">
      <c r="A5" s="16" t="s">
        <v>29</v>
      </c>
      <c r="B5" s="16"/>
      <c r="C5" s="189" t="s">
        <v>25</v>
      </c>
      <c r="D5" s="436" t="s">
        <v>10</v>
      </c>
      <c r="E5" s="17" t="str">
        <f>IF(D5="non","",IF(D5=1,d!B22,d!B23))</f>
        <v/>
      </c>
      <c r="F5" s="18"/>
      <c r="G5" s="18"/>
      <c r="H5" s="17"/>
      <c r="I5" s="17"/>
      <c r="J5" s="17"/>
      <c r="K5" s="154"/>
      <c r="N5"/>
      <c r="O5"/>
      <c r="P5"/>
      <c r="Q5"/>
    </row>
    <row r="6" spans="1:17">
      <c r="A6" s="16" t="s">
        <v>18</v>
      </c>
      <c r="B6" s="16"/>
      <c r="C6" s="188"/>
      <c r="D6" s="437">
        <v>0</v>
      </c>
      <c r="E6" s="17" t="s">
        <v>9</v>
      </c>
      <c r="F6" s="98"/>
      <c r="G6" s="414" t="s">
        <v>100</v>
      </c>
      <c r="H6" s="415" t="s">
        <v>33</v>
      </c>
      <c r="I6" s="17"/>
      <c r="J6" s="17"/>
      <c r="K6" s="154"/>
      <c r="N6"/>
      <c r="O6"/>
      <c r="P6"/>
      <c r="Q6"/>
    </row>
    <row r="7" spans="1:17">
      <c r="A7" s="21" t="s">
        <v>35</v>
      </c>
      <c r="B7" s="16"/>
      <c r="C7" s="189"/>
      <c r="D7" s="15">
        <f>jour_1!D7</f>
        <v>1700</v>
      </c>
      <c r="E7" s="17" t="s">
        <v>9</v>
      </c>
      <c r="F7" s="18"/>
      <c r="G7" s="416"/>
      <c r="H7" s="417" t="s">
        <v>816</v>
      </c>
      <c r="I7" s="17"/>
      <c r="J7" s="17"/>
      <c r="K7" s="154"/>
      <c r="N7"/>
      <c r="O7"/>
      <c r="P7"/>
      <c r="Q7"/>
    </row>
    <row r="8" spans="1:17" ht="45" customHeight="1">
      <c r="A8" s="17"/>
      <c r="B8" s="16"/>
      <c r="C8" s="188"/>
      <c r="D8" s="480" t="str">
        <f>IF(D5="non","",d!A24)</f>
        <v/>
      </c>
      <c r="E8" s="480"/>
      <c r="F8" s="480"/>
      <c r="G8" s="480"/>
      <c r="H8" s="480"/>
      <c r="I8" s="480"/>
      <c r="J8" s="480"/>
      <c r="K8" s="155"/>
      <c r="L8" s="243"/>
      <c r="N8"/>
      <c r="O8"/>
      <c r="P8"/>
      <c r="Q8"/>
    </row>
    <row r="9" spans="1:17" ht="6" customHeight="1">
      <c r="A9" s="17"/>
      <c r="B9" s="16"/>
      <c r="C9" s="188"/>
      <c r="D9" s="18"/>
      <c r="E9" s="17"/>
      <c r="F9" s="18"/>
      <c r="G9" s="18"/>
      <c r="H9" s="17"/>
      <c r="I9" s="17"/>
      <c r="J9" s="17"/>
      <c r="K9" s="154"/>
      <c r="N9"/>
      <c r="O9"/>
      <c r="P9"/>
      <c r="Q9"/>
    </row>
    <row r="10" spans="1:17">
      <c r="A10" s="17"/>
      <c r="B10" s="26" t="s">
        <v>14</v>
      </c>
      <c r="C10" s="190"/>
      <c r="D10" s="28"/>
      <c r="E10" s="28"/>
      <c r="F10" s="133"/>
      <c r="G10" s="133"/>
      <c r="H10" s="28"/>
      <c r="I10" s="28"/>
      <c r="J10" s="29"/>
      <c r="K10" s="154"/>
      <c r="N10"/>
      <c r="O10"/>
      <c r="P10"/>
      <c r="Q10"/>
    </row>
    <row r="11" spans="1:17">
      <c r="A11" s="17"/>
      <c r="B11" s="30" t="s">
        <v>15</v>
      </c>
      <c r="C11" s="191"/>
      <c r="D11" s="15">
        <f>D7+D6</f>
        <v>1700</v>
      </c>
      <c r="E11" s="32" t="s">
        <v>7</v>
      </c>
      <c r="F11" s="31"/>
      <c r="G11" s="31"/>
      <c r="H11" s="33"/>
      <c r="I11" s="33"/>
      <c r="J11" s="34"/>
      <c r="K11" s="154"/>
      <c r="N11"/>
      <c r="O11"/>
      <c r="P11"/>
      <c r="Q11"/>
    </row>
    <row r="12" spans="1:17">
      <c r="A12" s="17"/>
      <c r="B12" s="30" t="s">
        <v>16</v>
      </c>
      <c r="C12" s="191"/>
      <c r="D12" s="23">
        <f>ABS(M13)</f>
        <v>269</v>
      </c>
      <c r="E12" s="32" t="s">
        <v>7</v>
      </c>
      <c r="F12" s="32" t="str">
        <f>IF(M13&gt;0,d!A44,d!A45)</f>
        <v>de moins que les menus Pan Metron du jour</v>
      </c>
      <c r="G12" s="31"/>
      <c r="H12" s="33"/>
      <c r="I12" s="33"/>
      <c r="J12" s="34"/>
      <c r="K12" s="154"/>
      <c r="N12"/>
      <c r="O12"/>
      <c r="P12"/>
      <c r="Q12"/>
    </row>
    <row r="13" spans="1:17" ht="13" customHeight="1">
      <c r="A13" s="24"/>
      <c r="B13" s="35"/>
      <c r="C13" s="192"/>
      <c r="D13" s="37"/>
      <c r="E13" s="1"/>
      <c r="F13" s="38" t="str">
        <f>IF(D5="non","",d!A46)</f>
        <v/>
      </c>
      <c r="G13" s="39"/>
      <c r="H13" s="38"/>
      <c r="I13" s="38"/>
      <c r="J13" s="40"/>
      <c r="K13" s="154"/>
      <c r="M13" s="408">
        <f>D3+E76-D11</f>
        <v>269</v>
      </c>
      <c r="N13"/>
      <c r="O13"/>
      <c r="P13"/>
      <c r="Q13"/>
    </row>
    <row r="14" spans="1:17" ht="8" customHeight="1">
      <c r="A14" s="24"/>
      <c r="B14" s="41"/>
      <c r="C14" s="193"/>
      <c r="D14" s="19"/>
      <c r="E14" s="42"/>
      <c r="F14" s="43"/>
      <c r="G14" s="43"/>
      <c r="H14" s="42"/>
      <c r="I14" s="42"/>
      <c r="J14" s="42"/>
      <c r="K14" s="154"/>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156"/>
      <c r="L15" s="244"/>
      <c r="M15" s="409"/>
      <c r="N15"/>
      <c r="O15"/>
      <c r="P15"/>
      <c r="Q15"/>
    </row>
    <row r="16" spans="1:17" ht="12" customHeight="1">
      <c r="A16" s="17"/>
      <c r="B16" s="22"/>
      <c r="C16" s="194"/>
      <c r="D16" s="22"/>
      <c r="E16" s="22"/>
      <c r="F16" s="134"/>
      <c r="G16" s="134"/>
      <c r="H16" s="22"/>
      <c r="I16" s="22"/>
      <c r="J16" s="22"/>
      <c r="K16" s="156"/>
      <c r="L16" s="244"/>
      <c r="N16"/>
      <c r="O16"/>
      <c r="P16"/>
      <c r="Q16"/>
    </row>
    <row r="17" spans="1:17" ht="17" customHeight="1">
      <c r="A17" s="60" t="s">
        <v>24</v>
      </c>
      <c r="B17" s="61"/>
      <c r="C17" s="195"/>
      <c r="D17" s="61"/>
      <c r="E17" s="62"/>
      <c r="F17" s="134"/>
      <c r="G17" s="141"/>
      <c r="H17" s="57" t="s">
        <v>36</v>
      </c>
      <c r="I17" s="58"/>
      <c r="J17" s="59"/>
      <c r="K17" s="156"/>
      <c r="L17" s="244"/>
      <c r="M17" s="269" t="s">
        <v>133</v>
      </c>
      <c r="O17" s="148"/>
      <c r="Q17"/>
    </row>
    <row r="18" spans="1:17">
      <c r="A18" s="485" t="s">
        <v>11</v>
      </c>
      <c r="B18" s="483" t="s">
        <v>227</v>
      </c>
      <c r="C18" s="246"/>
      <c r="D18" s="481" t="s">
        <v>7</v>
      </c>
      <c r="E18" s="482"/>
      <c r="F18" s="18"/>
      <c r="G18" s="43"/>
      <c r="H18" s="487" t="str">
        <f>A18</f>
        <v>g/cl</v>
      </c>
      <c r="I18" s="489" t="str">
        <f>B18</f>
        <v>Ingrédients</v>
      </c>
      <c r="J18" s="70" t="s">
        <v>7</v>
      </c>
      <c r="K18" s="154"/>
      <c r="M18" s="411">
        <f>100-(D12/((D11+D12)/100))</f>
        <v>86.338242762823768</v>
      </c>
      <c r="Q18"/>
    </row>
    <row r="19" spans="1:17" ht="12" customHeight="1">
      <c r="A19" s="486"/>
      <c r="B19" s="484"/>
      <c r="C19" s="73"/>
      <c r="D19" s="72" t="s">
        <v>22</v>
      </c>
      <c r="E19" s="73" t="s">
        <v>23</v>
      </c>
      <c r="F19" s="18"/>
      <c r="G19" s="43"/>
      <c r="H19" s="488"/>
      <c r="I19" s="490"/>
      <c r="J19" s="71" t="s">
        <v>23</v>
      </c>
      <c r="K19" s="154"/>
      <c r="M19" s="269"/>
      <c r="Q19"/>
    </row>
    <row r="20" spans="1:17" ht="8" customHeight="1">
      <c r="A20" s="17"/>
      <c r="B20" s="16"/>
      <c r="C20" s="209"/>
      <c r="D20" s="17"/>
      <c r="E20" s="17"/>
      <c r="F20" s="18"/>
      <c r="G20" s="43"/>
      <c r="H20" s="17"/>
      <c r="I20" s="17"/>
      <c r="J20" s="17"/>
      <c r="K20" s="154"/>
      <c r="L20" s="154"/>
      <c r="P20"/>
      <c r="Q20"/>
    </row>
    <row r="21" spans="1:17">
      <c r="A21" s="216" t="s">
        <v>242</v>
      </c>
      <c r="B21" s="16"/>
      <c r="C21" s="209"/>
      <c r="D21" s="17"/>
      <c r="E21" s="17"/>
      <c r="F21" s="18"/>
      <c r="G21" s="43"/>
      <c r="H21" s="17"/>
      <c r="I21" s="17"/>
      <c r="J21" s="17"/>
      <c r="K21" s="154"/>
      <c r="L21" s="154"/>
      <c r="P21"/>
      <c r="Q21"/>
    </row>
    <row r="22" spans="1:17">
      <c r="A22" s="438">
        <v>30</v>
      </c>
      <c r="B22" s="2" t="s">
        <v>102</v>
      </c>
      <c r="C22" s="196" t="s">
        <v>673</v>
      </c>
      <c r="D22" s="51">
        <v>229</v>
      </c>
      <c r="E22" s="49">
        <f t="shared" ref="E22:E29" si="0">D22/100*A22</f>
        <v>68.7</v>
      </c>
      <c r="F22" s="18"/>
      <c r="G22" s="43"/>
      <c r="H22" s="55">
        <f t="shared" ref="H22:H29" si="1">IF(E22=0,A22,A22/E22*J22)</f>
        <v>25.90147282884713</v>
      </c>
      <c r="I22" s="2" t="str">
        <f t="shared" ref="I22:I29" si="2">B22</f>
        <v>pain complet</v>
      </c>
      <c r="J22" s="49">
        <f>E22*$M$18%</f>
        <v>59.314372778059933</v>
      </c>
      <c r="K22" s="154"/>
      <c r="M22" s="411"/>
      <c r="Q22"/>
    </row>
    <row r="23" spans="1:17">
      <c r="A23" s="438">
        <v>5</v>
      </c>
      <c r="B23" s="2" t="s">
        <v>0</v>
      </c>
      <c r="C23" s="197" t="s">
        <v>674</v>
      </c>
      <c r="D23" s="51">
        <v>747.3</v>
      </c>
      <c r="E23" s="49">
        <f t="shared" si="0"/>
        <v>37.365000000000002</v>
      </c>
      <c r="F23" s="18"/>
      <c r="G23" s="43"/>
      <c r="H23" s="55">
        <f t="shared" si="1"/>
        <v>4.3169121381411895</v>
      </c>
      <c r="I23" s="2" t="str">
        <f t="shared" si="2"/>
        <v>beurre</v>
      </c>
      <c r="J23" s="49">
        <f t="shared" ref="J23:J29" si="3">E23*$M$18%</f>
        <v>32.260284408329106</v>
      </c>
      <c r="K23" s="154"/>
      <c r="Q23"/>
    </row>
    <row r="24" spans="1:17">
      <c r="A24" s="438">
        <v>10</v>
      </c>
      <c r="B24" s="2" t="s">
        <v>3</v>
      </c>
      <c r="C24" s="197" t="s">
        <v>674</v>
      </c>
      <c r="D24" s="51">
        <v>246</v>
      </c>
      <c r="E24" s="49">
        <f t="shared" si="0"/>
        <v>24.6</v>
      </c>
      <c r="F24" s="18"/>
      <c r="G24" s="43"/>
      <c r="H24" s="55">
        <f t="shared" si="1"/>
        <v>8.6338242762823771</v>
      </c>
      <c r="I24" s="2" t="str">
        <f t="shared" si="2"/>
        <v>confiture</v>
      </c>
      <c r="J24" s="49">
        <f t="shared" si="3"/>
        <v>21.239207719654647</v>
      </c>
      <c r="K24" s="154"/>
      <c r="O24" s="45"/>
      <c r="Q24"/>
    </row>
    <row r="25" spans="1:17">
      <c r="A25" s="438">
        <v>150</v>
      </c>
      <c r="B25" s="2" t="s">
        <v>1</v>
      </c>
      <c r="C25" s="198"/>
      <c r="D25" s="51">
        <v>0</v>
      </c>
      <c r="E25" s="49">
        <f t="shared" si="0"/>
        <v>0</v>
      </c>
      <c r="F25" s="18"/>
      <c r="G25" s="43"/>
      <c r="H25" s="55">
        <f t="shared" si="1"/>
        <v>150</v>
      </c>
      <c r="I25" s="2" t="str">
        <f t="shared" si="2"/>
        <v>café</v>
      </c>
      <c r="J25" s="49">
        <f t="shared" si="3"/>
        <v>0</v>
      </c>
      <c r="K25" s="154"/>
      <c r="O25" s="45"/>
      <c r="Q25"/>
    </row>
    <row r="26" spans="1:17">
      <c r="A26" s="438">
        <v>4</v>
      </c>
      <c r="B26" s="2" t="s">
        <v>2</v>
      </c>
      <c r="C26" s="197" t="s">
        <v>674</v>
      </c>
      <c r="D26" s="51">
        <v>400</v>
      </c>
      <c r="E26" s="49">
        <f t="shared" si="0"/>
        <v>16</v>
      </c>
      <c r="F26" s="18"/>
      <c r="G26" s="43"/>
      <c r="H26" s="55">
        <f t="shared" si="1"/>
        <v>3.4535297105129508</v>
      </c>
      <c r="I26" s="2" t="str">
        <f t="shared" si="2"/>
        <v>sucre</v>
      </c>
      <c r="J26" s="49">
        <f t="shared" si="3"/>
        <v>13.814118842051803</v>
      </c>
      <c r="K26" s="154"/>
      <c r="O26" s="45"/>
      <c r="Q26"/>
    </row>
    <row r="27" spans="1:17">
      <c r="A27" s="438">
        <v>12</v>
      </c>
      <c r="B27" s="2" t="s">
        <v>5</v>
      </c>
      <c r="C27" s="196" t="s">
        <v>673</v>
      </c>
      <c r="D27" s="51">
        <v>161</v>
      </c>
      <c r="E27" s="49">
        <f t="shared" si="0"/>
        <v>19.32</v>
      </c>
      <c r="F27" s="18"/>
      <c r="G27" s="43"/>
      <c r="H27" s="55">
        <f t="shared" si="1"/>
        <v>10.36058913153885</v>
      </c>
      <c r="I27" s="2" t="str">
        <f t="shared" si="2"/>
        <v>crème à café</v>
      </c>
      <c r="J27" s="49">
        <f t="shared" si="3"/>
        <v>16.680548501777551</v>
      </c>
      <c r="K27" s="154"/>
      <c r="O27" s="45"/>
      <c r="Q27"/>
    </row>
    <row r="28" spans="1:17">
      <c r="A28" s="438">
        <v>125</v>
      </c>
      <c r="B28" s="2" t="s">
        <v>123</v>
      </c>
      <c r="C28" s="199" t="s">
        <v>675</v>
      </c>
      <c r="D28" s="51">
        <v>87</v>
      </c>
      <c r="E28" s="49">
        <f t="shared" si="0"/>
        <v>108.75</v>
      </c>
      <c r="F28" s="18"/>
      <c r="G28" s="43"/>
      <c r="H28" s="55">
        <f t="shared" si="1"/>
        <v>107.9228034535297</v>
      </c>
      <c r="I28" s="2" t="str">
        <f t="shared" si="2"/>
        <v>yogourt aux fruits</v>
      </c>
      <c r="J28" s="49">
        <f t="shared" si="3"/>
        <v>93.892839004570845</v>
      </c>
      <c r="K28" s="154"/>
      <c r="O28" s="45"/>
      <c r="Q28"/>
    </row>
    <row r="29" spans="1:17">
      <c r="A29" s="438">
        <v>150</v>
      </c>
      <c r="B29" s="2" t="s">
        <v>103</v>
      </c>
      <c r="C29" s="199" t="s">
        <v>675</v>
      </c>
      <c r="D29" s="51">
        <v>45</v>
      </c>
      <c r="E29" s="49">
        <f t="shared" si="0"/>
        <v>67.5</v>
      </c>
      <c r="F29" s="68"/>
      <c r="G29" s="128"/>
      <c r="H29" s="55">
        <f t="shared" si="1"/>
        <v>129.50736414423565</v>
      </c>
      <c r="I29" s="2" t="str">
        <f t="shared" si="2"/>
        <v>jus d'orange maison</v>
      </c>
      <c r="J29" s="49">
        <f t="shared" si="3"/>
        <v>58.278313864906046</v>
      </c>
      <c r="K29" s="129"/>
      <c r="O29" s="45"/>
      <c r="Q29"/>
    </row>
    <row r="30" spans="1:17">
      <c r="A30" s="42"/>
      <c r="B30" s="131"/>
      <c r="C30" s="200"/>
      <c r="E30" s="130" t="s">
        <v>6</v>
      </c>
      <c r="F30" s="175">
        <f>SUM(E22:E29)</f>
        <v>342.23500000000001</v>
      </c>
      <c r="G30" s="128"/>
      <c r="H30" s="42"/>
      <c r="I30" s="131"/>
      <c r="J30" s="130" t="s">
        <v>6</v>
      </c>
      <c r="K30" s="175">
        <f>SUM(J22:J29)</f>
        <v>295.47968511934994</v>
      </c>
      <c r="L30" s="154"/>
      <c r="O30" s="45"/>
      <c r="Q30"/>
    </row>
    <row r="31" spans="1:17">
      <c r="A31" s="216" t="s">
        <v>225</v>
      </c>
      <c r="B31" s="16"/>
      <c r="C31" s="209"/>
      <c r="D31" s="17"/>
      <c r="E31" s="17"/>
      <c r="F31" s="18"/>
      <c r="G31" s="43"/>
      <c r="H31" s="17"/>
      <c r="I31" s="17"/>
      <c r="J31" s="17"/>
      <c r="K31" s="154"/>
      <c r="L31" s="154"/>
      <c r="P31"/>
      <c r="Q31"/>
    </row>
    <row r="32" spans="1:17">
      <c r="A32" s="256" t="s">
        <v>282</v>
      </c>
      <c r="B32" s="257"/>
      <c r="C32" s="257"/>
      <c r="D32" s="257"/>
      <c r="E32" s="257"/>
      <c r="F32" s="257"/>
      <c r="G32" s="257"/>
      <c r="H32" s="257"/>
      <c r="I32" s="257"/>
      <c r="J32" s="258"/>
      <c r="K32" s="154"/>
      <c r="O32" s="45"/>
      <c r="Q32"/>
    </row>
    <row r="33" spans="1:17">
      <c r="A33" s="439">
        <v>30</v>
      </c>
      <c r="B33" s="2" t="s">
        <v>285</v>
      </c>
      <c r="C33" s="273" t="s">
        <v>676</v>
      </c>
      <c r="D33" s="253">
        <v>146</v>
      </c>
      <c r="E33" s="254">
        <f t="shared" ref="E33:E47" si="4">D33/100*A33</f>
        <v>43.8</v>
      </c>
      <c r="F33" s="18"/>
      <c r="G33" s="43"/>
      <c r="H33" s="255">
        <f t="shared" ref="H33:H47" si="5">IF(E33=0,A33,A33/E33*J33)</f>
        <v>25.90147282884713</v>
      </c>
      <c r="I33" s="251" t="str">
        <f t="shared" ref="I33:I49" si="6">B33</f>
        <v>oeufs</v>
      </c>
      <c r="J33" s="254">
        <f t="shared" ref="J33:J49" si="7">E33*$M$18%</f>
        <v>37.816150330116805</v>
      </c>
      <c r="K33" s="154"/>
      <c r="O33" s="45"/>
      <c r="Q33"/>
    </row>
    <row r="34" spans="1:17">
      <c r="A34" s="439">
        <v>3</v>
      </c>
      <c r="B34" s="2" t="s">
        <v>118</v>
      </c>
      <c r="C34" s="196" t="s">
        <v>673</v>
      </c>
      <c r="D34" s="253">
        <v>338</v>
      </c>
      <c r="E34" s="49">
        <f t="shared" si="4"/>
        <v>10.14</v>
      </c>
      <c r="F34" s="68"/>
      <c r="G34" s="128"/>
      <c r="H34" s="55">
        <f t="shared" si="5"/>
        <v>2.590147282884713</v>
      </c>
      <c r="I34" s="2" t="str">
        <f t="shared" si="6"/>
        <v>farine</v>
      </c>
      <c r="J34" s="49">
        <f t="shared" si="7"/>
        <v>8.7546978161503315</v>
      </c>
      <c r="K34" s="154"/>
      <c r="O34" s="45"/>
      <c r="Q34"/>
    </row>
    <row r="35" spans="1:17">
      <c r="A35" s="439">
        <v>50</v>
      </c>
      <c r="B35" s="2" t="s">
        <v>286</v>
      </c>
      <c r="C35" s="197" t="s">
        <v>674</v>
      </c>
      <c r="D35" s="253">
        <v>252</v>
      </c>
      <c r="E35" s="49">
        <f t="shared" si="4"/>
        <v>126</v>
      </c>
      <c r="F35" s="68"/>
      <c r="G35" s="128"/>
      <c r="H35" s="55">
        <f t="shared" si="5"/>
        <v>43.169121381411884</v>
      </c>
      <c r="I35" s="2" t="str">
        <f t="shared" si="6"/>
        <v>crème liquide</v>
      </c>
      <c r="J35" s="49">
        <f t="shared" si="7"/>
        <v>108.78618588115795</v>
      </c>
      <c r="K35" s="154"/>
      <c r="O35" s="45"/>
      <c r="Q35"/>
    </row>
    <row r="36" spans="1:17">
      <c r="A36" s="439">
        <v>50</v>
      </c>
      <c r="B36" s="2" t="s">
        <v>174</v>
      </c>
      <c r="C36" s="273" t="s">
        <v>676</v>
      </c>
      <c r="D36" s="253">
        <v>19</v>
      </c>
      <c r="E36" s="49">
        <f t="shared" si="4"/>
        <v>9.5</v>
      </c>
      <c r="F36" s="68"/>
      <c r="G36" s="128"/>
      <c r="H36" s="55">
        <f t="shared" si="5"/>
        <v>43.169121381411884</v>
      </c>
      <c r="I36" s="2" t="str">
        <f t="shared" si="6"/>
        <v>tomate</v>
      </c>
      <c r="J36" s="49">
        <f t="shared" si="7"/>
        <v>8.202133062468258</v>
      </c>
      <c r="K36" s="154"/>
      <c r="O36" s="45"/>
      <c r="Q36"/>
    </row>
    <row r="37" spans="1:17">
      <c r="A37" s="439">
        <v>25</v>
      </c>
      <c r="B37" s="2" t="s">
        <v>271</v>
      </c>
      <c r="C37" s="273" t="s">
        <v>676</v>
      </c>
      <c r="D37" s="253">
        <v>29</v>
      </c>
      <c r="E37" s="49">
        <f t="shared" si="4"/>
        <v>7.2499999999999991</v>
      </c>
      <c r="F37" s="68"/>
      <c r="G37" s="128"/>
      <c r="H37" s="55">
        <f t="shared" si="5"/>
        <v>21.584560690705942</v>
      </c>
      <c r="I37" s="2" t="str">
        <f t="shared" si="6"/>
        <v>oignon</v>
      </c>
      <c r="J37" s="49">
        <f t="shared" si="7"/>
        <v>6.2595226003047229</v>
      </c>
      <c r="K37" s="154"/>
      <c r="O37" s="45"/>
      <c r="Q37"/>
    </row>
    <row r="38" spans="1:17">
      <c r="A38" s="439">
        <v>50</v>
      </c>
      <c r="B38" s="2" t="s">
        <v>287</v>
      </c>
      <c r="C38" s="273" t="s">
        <v>676</v>
      </c>
      <c r="D38" s="253">
        <v>10</v>
      </c>
      <c r="E38" s="49">
        <f t="shared" si="4"/>
        <v>5</v>
      </c>
      <c r="F38" s="68"/>
      <c r="G38" s="128"/>
      <c r="H38" s="55">
        <f t="shared" si="5"/>
        <v>43.169121381411884</v>
      </c>
      <c r="I38" s="2" t="str">
        <f t="shared" si="6"/>
        <v>endive</v>
      </c>
      <c r="J38" s="49">
        <f t="shared" si="7"/>
        <v>4.3169121381411886</v>
      </c>
      <c r="K38" s="154"/>
      <c r="O38" s="45"/>
      <c r="Q38"/>
    </row>
    <row r="39" spans="1:17">
      <c r="A39" s="439">
        <v>62</v>
      </c>
      <c r="B39" s="2" t="s">
        <v>288</v>
      </c>
      <c r="C39" s="197" t="s">
        <v>674</v>
      </c>
      <c r="D39" s="253">
        <v>384</v>
      </c>
      <c r="E39" s="49">
        <f t="shared" si="4"/>
        <v>238.07999999999998</v>
      </c>
      <c r="F39" s="68"/>
      <c r="G39" s="128"/>
      <c r="H39" s="55">
        <f t="shared" si="5"/>
        <v>53.529710512950736</v>
      </c>
      <c r="I39" s="2" t="str">
        <f t="shared" si="6"/>
        <v>pâte feuilletée abaissée</v>
      </c>
      <c r="J39" s="49">
        <f t="shared" si="7"/>
        <v>205.55408836973081</v>
      </c>
      <c r="K39" s="154"/>
      <c r="O39" s="45"/>
      <c r="Q39"/>
    </row>
    <row r="40" spans="1:17">
      <c r="A40" s="439">
        <v>3</v>
      </c>
      <c r="B40" s="2" t="s">
        <v>283</v>
      </c>
      <c r="C40" s="196" t="s">
        <v>673</v>
      </c>
      <c r="D40" s="253">
        <v>134</v>
      </c>
      <c r="E40" s="49">
        <f t="shared" si="4"/>
        <v>4.0200000000000005</v>
      </c>
      <c r="F40" s="68"/>
      <c r="G40" s="128"/>
      <c r="H40" s="55">
        <f t="shared" si="5"/>
        <v>2.5901472828847134</v>
      </c>
      <c r="I40" s="2" t="str">
        <f t="shared" si="6"/>
        <v>moutarde</v>
      </c>
      <c r="J40" s="49">
        <f t="shared" si="7"/>
        <v>3.4707973590655161</v>
      </c>
      <c r="K40" s="154"/>
      <c r="O40" s="45"/>
      <c r="Q40"/>
    </row>
    <row r="41" spans="1:17">
      <c r="A41" s="439">
        <v>6</v>
      </c>
      <c r="B41" s="2" t="s">
        <v>284</v>
      </c>
      <c r="C41" s="197" t="s">
        <v>674</v>
      </c>
      <c r="D41" s="253">
        <v>370</v>
      </c>
      <c r="E41" s="49">
        <f t="shared" si="4"/>
        <v>22.200000000000003</v>
      </c>
      <c r="F41" s="68"/>
      <c r="G41" s="128"/>
      <c r="H41" s="55">
        <f t="shared" si="5"/>
        <v>5.1802945657694259</v>
      </c>
      <c r="I41" s="2" t="str">
        <f t="shared" si="6"/>
        <v>chapelure</v>
      </c>
      <c r="J41" s="49">
        <f t="shared" si="7"/>
        <v>19.16708989334688</v>
      </c>
      <c r="K41" s="154"/>
      <c r="O41" s="45"/>
      <c r="Q41"/>
    </row>
    <row r="42" spans="1:17">
      <c r="A42" s="439">
        <v>12</v>
      </c>
      <c r="B42" s="2" t="s">
        <v>289</v>
      </c>
      <c r="C42" s="197" t="s">
        <v>674</v>
      </c>
      <c r="D42" s="253">
        <v>342</v>
      </c>
      <c r="E42" s="49">
        <f t="shared" si="4"/>
        <v>41.04</v>
      </c>
      <c r="F42" s="68"/>
      <c r="G42" s="128"/>
      <c r="H42" s="55">
        <f t="shared" si="5"/>
        <v>10.360589131538852</v>
      </c>
      <c r="I42" s="2" t="str">
        <f>B42</f>
        <v>fromage bleu</v>
      </c>
      <c r="J42" s="49">
        <f>E42*$M$18%</f>
        <v>35.433214829862877</v>
      </c>
      <c r="K42" s="154"/>
      <c r="O42" s="45"/>
      <c r="P42"/>
      <c r="Q42"/>
    </row>
    <row r="43" spans="1:17">
      <c r="A43" s="439">
        <v>2.5</v>
      </c>
      <c r="B43" s="2" t="s">
        <v>205</v>
      </c>
      <c r="C43" s="273" t="s">
        <v>676</v>
      </c>
      <c r="D43" s="253">
        <v>44</v>
      </c>
      <c r="E43" s="49">
        <f t="shared" si="4"/>
        <v>1.1000000000000001</v>
      </c>
      <c r="F43" s="68"/>
      <c r="G43" s="128"/>
      <c r="H43" s="55">
        <f t="shared" si="5"/>
        <v>2.1584560690705943</v>
      </c>
      <c r="I43" s="2" t="str">
        <f t="shared" si="6"/>
        <v>cerfeuil</v>
      </c>
      <c r="J43" s="49">
        <f t="shared" si="7"/>
        <v>0.94972067039106156</v>
      </c>
      <c r="K43" s="154"/>
      <c r="O43" s="45"/>
      <c r="Q43"/>
    </row>
    <row r="44" spans="1:17">
      <c r="A44" s="439">
        <v>50</v>
      </c>
      <c r="B44" s="2" t="s">
        <v>239</v>
      </c>
      <c r="C44" s="185" t="s">
        <v>676</v>
      </c>
      <c r="D44" s="51">
        <v>18</v>
      </c>
      <c r="E44" s="49">
        <f t="shared" si="4"/>
        <v>9</v>
      </c>
      <c r="F44" s="68"/>
      <c r="G44" s="128"/>
      <c r="H44" s="55">
        <f t="shared" si="5"/>
        <v>43.169121381411884</v>
      </c>
      <c r="I44" s="2" t="str">
        <f t="shared" si="6"/>
        <v>salade</v>
      </c>
      <c r="J44" s="49">
        <f t="shared" si="7"/>
        <v>7.7704418486541389</v>
      </c>
      <c r="K44" s="154"/>
      <c r="O44" s="45"/>
      <c r="Q44"/>
    </row>
    <row r="45" spans="1:17">
      <c r="A45" s="439">
        <v>12</v>
      </c>
      <c r="B45" s="2" t="s">
        <v>162</v>
      </c>
      <c r="C45" s="197" t="s">
        <v>674</v>
      </c>
      <c r="D45" s="51">
        <v>446</v>
      </c>
      <c r="E45" s="49">
        <f t="shared" si="4"/>
        <v>53.519999999999996</v>
      </c>
      <c r="F45" s="68"/>
      <c r="G45" s="128"/>
      <c r="H45" s="55">
        <f t="shared" si="5"/>
        <v>10.360589131538852</v>
      </c>
      <c r="I45" s="2" t="str">
        <f t="shared" si="6"/>
        <v>sauce française</v>
      </c>
      <c r="J45" s="49">
        <f t="shared" si="7"/>
        <v>46.208227526663279</v>
      </c>
      <c r="K45" s="154"/>
      <c r="O45" s="45"/>
      <c r="Q45"/>
    </row>
    <row r="46" spans="1:17">
      <c r="A46" s="439">
        <v>0.75</v>
      </c>
      <c r="B46" s="2" t="s">
        <v>109</v>
      </c>
      <c r="C46" s="197" t="s">
        <v>674</v>
      </c>
      <c r="D46" s="253">
        <v>0</v>
      </c>
      <c r="E46" s="49">
        <f t="shared" si="4"/>
        <v>0</v>
      </c>
      <c r="F46" s="68"/>
      <c r="G46" s="128"/>
      <c r="H46" s="55">
        <f t="shared" si="5"/>
        <v>0.75</v>
      </c>
      <c r="I46" s="2" t="str">
        <f t="shared" si="6"/>
        <v>sel</v>
      </c>
      <c r="J46" s="49">
        <f t="shared" si="7"/>
        <v>0</v>
      </c>
      <c r="K46" s="154"/>
      <c r="O46" s="45"/>
      <c r="Q46"/>
    </row>
    <row r="47" spans="1:17">
      <c r="A47" s="439">
        <v>0.5</v>
      </c>
      <c r="B47" s="2" t="s">
        <v>116</v>
      </c>
      <c r="C47" s="199" t="s">
        <v>675</v>
      </c>
      <c r="D47" s="51">
        <v>222</v>
      </c>
      <c r="E47" s="49">
        <f t="shared" si="4"/>
        <v>1.1100000000000001</v>
      </c>
      <c r="F47" s="68"/>
      <c r="G47" s="128"/>
      <c r="H47" s="55">
        <f t="shared" si="5"/>
        <v>0.43169121381411885</v>
      </c>
      <c r="I47" s="2" t="str">
        <f t="shared" si="6"/>
        <v>poivre</v>
      </c>
      <c r="J47" s="49">
        <f t="shared" si="7"/>
        <v>0.9583544946673439</v>
      </c>
      <c r="K47" s="154"/>
      <c r="O47" s="45"/>
      <c r="Q47"/>
    </row>
    <row r="48" spans="1:17">
      <c r="A48" s="66" t="s">
        <v>127</v>
      </c>
      <c r="B48" s="63"/>
      <c r="C48" s="202"/>
      <c r="D48" s="63"/>
      <c r="E48" s="64"/>
      <c r="F48" s="18"/>
      <c r="G48" s="43"/>
      <c r="H48" s="65"/>
      <c r="I48" s="63"/>
      <c r="J48" s="67"/>
      <c r="K48" s="154"/>
      <c r="O48" s="45"/>
      <c r="Q48"/>
    </row>
    <row r="49" spans="1:17">
      <c r="A49" s="438">
        <v>125</v>
      </c>
      <c r="B49" s="2" t="s">
        <v>123</v>
      </c>
      <c r="C49" s="199" t="s">
        <v>675</v>
      </c>
      <c r="D49" s="51">
        <v>87</v>
      </c>
      <c r="E49" s="49">
        <f>D49/100*A49</f>
        <v>108.75</v>
      </c>
      <c r="F49" s="18"/>
      <c r="G49" s="43"/>
      <c r="H49" s="55">
        <f>IF(E49=0,A49,A49/E49*J49)</f>
        <v>107.9228034535297</v>
      </c>
      <c r="I49" s="56" t="str">
        <f t="shared" si="6"/>
        <v>yogourt aux fruits</v>
      </c>
      <c r="J49" s="49">
        <f t="shared" si="7"/>
        <v>93.892839004570845</v>
      </c>
      <c r="K49" s="129"/>
      <c r="O49" s="45"/>
      <c r="P49"/>
      <c r="Q49"/>
    </row>
    <row r="50" spans="1:17">
      <c r="A50" s="42"/>
      <c r="B50" s="131"/>
      <c r="C50" s="200"/>
      <c r="E50" s="130" t="s">
        <v>6</v>
      </c>
      <c r="F50" s="135">
        <f>SUM(E33:E49)</f>
        <v>680.51</v>
      </c>
      <c r="G50" s="128"/>
      <c r="H50" s="42"/>
      <c r="I50" s="131"/>
      <c r="J50" s="130" t="s">
        <v>6</v>
      </c>
      <c r="K50" s="135">
        <f>SUM(J33:J49)</f>
        <v>587.5403758252919</v>
      </c>
      <c r="L50" s="154"/>
      <c r="M50" s="412"/>
      <c r="O50" s="45"/>
      <c r="Q50"/>
    </row>
    <row r="51" spans="1:17" ht="6" customHeight="1">
      <c r="A51" s="17"/>
      <c r="B51" s="17"/>
      <c r="C51" s="188"/>
      <c r="D51" s="68"/>
      <c r="E51" s="17"/>
      <c r="F51" s="18"/>
      <c r="G51" s="43"/>
      <c r="H51" s="17"/>
      <c r="I51" s="17"/>
      <c r="J51" s="17"/>
      <c r="O51" s="45"/>
      <c r="P51"/>
      <c r="Q51"/>
    </row>
    <row r="52" spans="1:17">
      <c r="A52" s="216" t="s">
        <v>228</v>
      </c>
      <c r="B52" s="16"/>
      <c r="C52" s="209"/>
      <c r="D52" s="17"/>
      <c r="E52" s="17"/>
      <c r="F52" s="18"/>
      <c r="G52" s="43"/>
      <c r="H52" s="17"/>
      <c r="I52" s="17"/>
      <c r="J52" s="17"/>
      <c r="K52" s="154"/>
      <c r="P52"/>
      <c r="Q52"/>
    </row>
    <row r="53" spans="1:17">
      <c r="A53" s="438">
        <v>30</v>
      </c>
      <c r="B53" s="2" t="s">
        <v>291</v>
      </c>
      <c r="C53" s="197" t="s">
        <v>674</v>
      </c>
      <c r="D53" s="51">
        <v>460</v>
      </c>
      <c r="E53" s="49">
        <f>D53/100*A53</f>
        <v>138</v>
      </c>
      <c r="F53" s="18"/>
      <c r="G53" s="43"/>
      <c r="H53" s="55">
        <f>IF(E53=0,A53,A53/E53*J53)</f>
        <v>25.90147282884713</v>
      </c>
      <c r="I53" s="2" t="str">
        <f>B53</f>
        <v>branche chocolat</v>
      </c>
      <c r="J53" s="49">
        <f>E53*$M$18%</f>
        <v>119.14677501269681</v>
      </c>
      <c r="K53" s="154"/>
    </row>
    <row r="54" spans="1:17">
      <c r="A54" s="42"/>
      <c r="B54" s="157"/>
      <c r="C54" s="272"/>
      <c r="E54" s="130" t="s">
        <v>6</v>
      </c>
      <c r="F54" s="137">
        <f>SUM(E53:E53)</f>
        <v>138</v>
      </c>
      <c r="G54" s="140"/>
      <c r="H54" s="42"/>
      <c r="I54" s="131"/>
      <c r="J54" s="130" t="s">
        <v>6</v>
      </c>
      <c r="K54" s="137">
        <f>SUM(J53:J53)</f>
        <v>119.14677501269681</v>
      </c>
      <c r="L54" s="154"/>
      <c r="O54" s="45"/>
      <c r="Q54"/>
    </row>
    <row r="55" spans="1:17">
      <c r="A55" s="216" t="s">
        <v>226</v>
      </c>
      <c r="B55" s="16"/>
      <c r="C55" s="209"/>
      <c r="D55" s="17"/>
      <c r="E55" s="17"/>
      <c r="F55" s="18"/>
      <c r="G55" s="43"/>
      <c r="H55" s="17"/>
      <c r="I55" s="17"/>
      <c r="J55" s="17"/>
      <c r="K55" s="154"/>
      <c r="L55" s="154"/>
      <c r="P55"/>
      <c r="Q55"/>
    </row>
    <row r="56" spans="1:17">
      <c r="A56" s="256" t="s">
        <v>290</v>
      </c>
      <c r="B56" s="257"/>
      <c r="C56" s="257"/>
      <c r="D56" s="257"/>
      <c r="E56" s="257"/>
      <c r="F56" s="257"/>
      <c r="G56" s="257"/>
      <c r="H56" s="257"/>
      <c r="I56" s="257"/>
      <c r="J56" s="258"/>
      <c r="K56" s="154"/>
      <c r="O56" s="45"/>
      <c r="Q56"/>
    </row>
    <row r="57" spans="1:17">
      <c r="A57" s="439">
        <v>50</v>
      </c>
      <c r="B57" s="2" t="s">
        <v>271</v>
      </c>
      <c r="C57" s="273" t="s">
        <v>676</v>
      </c>
      <c r="D57" s="253">
        <v>29</v>
      </c>
      <c r="E57" s="49">
        <f t="shared" ref="E57:E70" si="8">D57/100*A57</f>
        <v>14.499999999999998</v>
      </c>
      <c r="F57" s="68"/>
      <c r="G57" s="128"/>
      <c r="H57" s="55">
        <f t="shared" ref="H57:H70" si="9">IF(E57=0,A57,A57/E57*J57)</f>
        <v>43.169121381411884</v>
      </c>
      <c r="I57" s="2" t="str">
        <f t="shared" ref="I57:I70" si="10">B57</f>
        <v>oignon</v>
      </c>
      <c r="J57" s="49">
        <f t="shared" ref="J57:J76" si="11">E57*$M$18%</f>
        <v>12.519045200609446</v>
      </c>
      <c r="K57" s="154"/>
      <c r="O57" s="45"/>
      <c r="P57"/>
      <c r="Q57"/>
    </row>
    <row r="58" spans="1:17">
      <c r="A58" s="439">
        <v>20</v>
      </c>
      <c r="B58" s="2" t="s">
        <v>292</v>
      </c>
      <c r="C58" s="249" t="s">
        <v>677</v>
      </c>
      <c r="D58" s="253">
        <v>631</v>
      </c>
      <c r="E58" s="49">
        <f t="shared" si="8"/>
        <v>126.19999999999999</v>
      </c>
      <c r="F58" s="68"/>
      <c r="G58" s="128"/>
      <c r="H58" s="55">
        <f t="shared" si="9"/>
        <v>17.267648552564754</v>
      </c>
      <c r="I58" s="2" t="str">
        <f t="shared" si="10"/>
        <v>amandes grillées</v>
      </c>
      <c r="J58" s="49">
        <f t="shared" si="11"/>
        <v>108.95886236668359</v>
      </c>
      <c r="K58" s="154"/>
      <c r="O58" s="45"/>
      <c r="P58"/>
      <c r="Q58"/>
    </row>
    <row r="59" spans="1:17">
      <c r="A59" s="439">
        <v>200</v>
      </c>
      <c r="B59" s="2" t="s">
        <v>281</v>
      </c>
      <c r="C59" s="273" t="s">
        <v>676</v>
      </c>
      <c r="D59" s="253">
        <v>133</v>
      </c>
      <c r="E59" s="49">
        <f t="shared" si="8"/>
        <v>266</v>
      </c>
      <c r="F59" s="68"/>
      <c r="G59" s="128"/>
      <c r="H59" s="55">
        <f t="shared" si="9"/>
        <v>172.67648552564754</v>
      </c>
      <c r="I59" s="2" t="str">
        <f t="shared" si="10"/>
        <v>lapin</v>
      </c>
      <c r="J59" s="49">
        <f t="shared" si="11"/>
        <v>229.65972574911123</v>
      </c>
      <c r="K59" s="154"/>
      <c r="O59" s="45"/>
      <c r="P59"/>
      <c r="Q59"/>
    </row>
    <row r="60" spans="1:17">
      <c r="A60" s="439">
        <v>3</v>
      </c>
      <c r="B60" s="2" t="s">
        <v>213</v>
      </c>
      <c r="C60" s="197" t="s">
        <v>674</v>
      </c>
      <c r="D60" s="51">
        <v>899</v>
      </c>
      <c r="E60" s="49">
        <f t="shared" si="8"/>
        <v>26.97</v>
      </c>
      <c r="F60" s="68"/>
      <c r="G60" s="128"/>
      <c r="H60" s="55">
        <f t="shared" si="9"/>
        <v>2.590147282884713</v>
      </c>
      <c r="I60" s="2" t="str">
        <f t="shared" si="10"/>
        <v>huille d'olive</v>
      </c>
      <c r="J60" s="49">
        <f t="shared" si="11"/>
        <v>23.285424073133569</v>
      </c>
      <c r="K60" s="154"/>
      <c r="O60" s="45"/>
      <c r="P60"/>
      <c r="Q60"/>
    </row>
    <row r="61" spans="1:17">
      <c r="A61" s="439">
        <v>3</v>
      </c>
      <c r="B61" s="2" t="s">
        <v>0</v>
      </c>
      <c r="C61" s="197" t="s">
        <v>674</v>
      </c>
      <c r="D61" s="253">
        <v>747</v>
      </c>
      <c r="E61" s="49">
        <f t="shared" si="8"/>
        <v>22.41</v>
      </c>
      <c r="F61" s="68"/>
      <c r="G61" s="128"/>
      <c r="H61" s="55">
        <f t="shared" si="9"/>
        <v>2.590147282884713</v>
      </c>
      <c r="I61" s="2" t="str">
        <f t="shared" si="10"/>
        <v>beurre</v>
      </c>
      <c r="J61" s="49">
        <f t="shared" si="11"/>
        <v>19.348400203148806</v>
      </c>
      <c r="K61" s="154"/>
      <c r="O61" s="45"/>
      <c r="P61"/>
      <c r="Q61"/>
    </row>
    <row r="62" spans="1:17">
      <c r="A62" s="439">
        <v>3</v>
      </c>
      <c r="B62" s="2" t="s">
        <v>118</v>
      </c>
      <c r="C62" s="196" t="s">
        <v>673</v>
      </c>
      <c r="D62" s="253">
        <v>338</v>
      </c>
      <c r="E62" s="49">
        <f t="shared" si="8"/>
        <v>10.14</v>
      </c>
      <c r="F62" s="68"/>
      <c r="G62" s="128"/>
      <c r="H62" s="55">
        <f t="shared" si="9"/>
        <v>2.590147282884713</v>
      </c>
      <c r="I62" s="2" t="str">
        <f t="shared" si="10"/>
        <v>farine</v>
      </c>
      <c r="J62" s="49">
        <f t="shared" si="11"/>
        <v>8.7546978161503315</v>
      </c>
      <c r="K62" s="154"/>
      <c r="O62" s="45"/>
      <c r="P62"/>
      <c r="Q62"/>
    </row>
    <row r="63" spans="1:17">
      <c r="A63" s="439"/>
      <c r="B63" s="2" t="s">
        <v>696</v>
      </c>
      <c r="C63" s="277"/>
      <c r="D63" s="253"/>
      <c r="E63" s="49"/>
      <c r="F63" s="68"/>
      <c r="G63" s="128"/>
      <c r="H63" s="55"/>
      <c r="I63" s="2" t="str">
        <f t="shared" si="10"/>
        <v>2 bâtons de canelle</v>
      </c>
      <c r="J63" s="49"/>
      <c r="K63" s="154"/>
      <c r="O63" s="45"/>
      <c r="P63"/>
      <c r="Q63"/>
    </row>
    <row r="64" spans="1:17">
      <c r="A64" s="439">
        <v>2.5000000000000001E-2</v>
      </c>
      <c r="B64" s="2" t="s">
        <v>115</v>
      </c>
      <c r="C64" s="249" t="s">
        <v>677</v>
      </c>
      <c r="D64" s="253">
        <v>352</v>
      </c>
      <c r="E64" s="49">
        <f t="shared" si="8"/>
        <v>8.8000000000000009E-2</v>
      </c>
      <c r="F64" s="68"/>
      <c r="G64" s="128"/>
      <c r="H64" s="55">
        <f t="shared" si="9"/>
        <v>2.158456069070594E-2</v>
      </c>
      <c r="I64" s="2" t="str">
        <f t="shared" si="10"/>
        <v>safran</v>
      </c>
      <c r="J64" s="49">
        <f t="shared" si="11"/>
        <v>7.5977653631284919E-2</v>
      </c>
      <c r="K64" s="154"/>
      <c r="O64" s="45"/>
      <c r="P64"/>
      <c r="Q64"/>
    </row>
    <row r="65" spans="1:17">
      <c r="A65" s="439">
        <v>7.5</v>
      </c>
      <c r="B65" s="2" t="s">
        <v>148</v>
      </c>
      <c r="C65" s="273" t="s">
        <v>676</v>
      </c>
      <c r="D65" s="253">
        <v>28</v>
      </c>
      <c r="E65" s="49">
        <f t="shared" ref="E65" si="12">D65/100*A65</f>
        <v>2.1</v>
      </c>
      <c r="F65" s="68"/>
      <c r="G65" s="128"/>
      <c r="H65" s="55">
        <f t="shared" ref="H65" si="13">IF(E65=0,A65,A65/E65*J65)</f>
        <v>6.4753682072117824</v>
      </c>
      <c r="I65" s="2" t="str">
        <f t="shared" ref="I65" si="14">B65</f>
        <v>persil</v>
      </c>
      <c r="J65" s="49">
        <f t="shared" ref="J65" si="15">E65*$M$18%</f>
        <v>1.8131030980192993</v>
      </c>
      <c r="K65" s="154"/>
      <c r="O65" s="45"/>
      <c r="P65"/>
      <c r="Q65"/>
    </row>
    <row r="66" spans="1:17">
      <c r="A66" s="439">
        <v>3</v>
      </c>
      <c r="B66" s="2" t="s">
        <v>293</v>
      </c>
      <c r="C66" s="197" t="s">
        <v>674</v>
      </c>
      <c r="D66" s="253">
        <v>322</v>
      </c>
      <c r="E66" s="49">
        <f t="shared" si="8"/>
        <v>9.66</v>
      </c>
      <c r="F66" s="68"/>
      <c r="G66" s="128"/>
      <c r="H66" s="55">
        <f t="shared" si="9"/>
        <v>2.5901472828847125</v>
      </c>
      <c r="I66" s="2" t="str">
        <f t="shared" si="10"/>
        <v>gingembre moulu</v>
      </c>
      <c r="J66" s="49">
        <f t="shared" si="11"/>
        <v>8.3402742508887755</v>
      </c>
      <c r="K66" s="154"/>
      <c r="O66" s="45"/>
      <c r="P66"/>
      <c r="Q66"/>
    </row>
    <row r="67" spans="1:17">
      <c r="A67" s="439">
        <v>220</v>
      </c>
      <c r="B67" s="2" t="s">
        <v>294</v>
      </c>
      <c r="C67" s="273" t="s">
        <v>676</v>
      </c>
      <c r="D67" s="253">
        <v>67</v>
      </c>
      <c r="E67" s="49">
        <f t="shared" si="8"/>
        <v>147.4</v>
      </c>
      <c r="F67" s="68"/>
      <c r="G67" s="128"/>
      <c r="H67" s="55">
        <f t="shared" si="9"/>
        <v>189.94413407821227</v>
      </c>
      <c r="I67" s="2" t="str">
        <f t="shared" si="10"/>
        <v>purée en flocons</v>
      </c>
      <c r="J67" s="49">
        <f t="shared" si="11"/>
        <v>127.26256983240224</v>
      </c>
      <c r="K67" s="154"/>
      <c r="L67" s="154"/>
      <c r="O67" s="45"/>
      <c r="P67"/>
      <c r="Q67"/>
    </row>
    <row r="68" spans="1:17">
      <c r="A68" s="439">
        <v>80</v>
      </c>
      <c r="B68" s="2" t="s">
        <v>295</v>
      </c>
      <c r="C68" s="273" t="s">
        <v>676</v>
      </c>
      <c r="D68" s="253">
        <v>33</v>
      </c>
      <c r="E68" s="49">
        <f>D68/100*A68</f>
        <v>26.400000000000002</v>
      </c>
      <c r="F68" s="68"/>
      <c r="G68" s="128"/>
      <c r="H68" s="55">
        <f>IF(E68=0,A68,A68/E68*J68)</f>
        <v>69.070594210259031</v>
      </c>
      <c r="I68" s="2" t="str">
        <f>B68</f>
        <v>épinards surgelés</v>
      </c>
      <c r="J68" s="49">
        <f>E68*$M$18%</f>
        <v>22.793296089385478</v>
      </c>
      <c r="K68" s="154"/>
      <c r="L68" s="154"/>
      <c r="O68" s="45"/>
      <c r="P68"/>
      <c r="Q68"/>
    </row>
    <row r="69" spans="1:17">
      <c r="A69" s="439">
        <v>100</v>
      </c>
      <c r="B69" s="2" t="s">
        <v>698</v>
      </c>
      <c r="C69" s="273" t="s">
        <v>676</v>
      </c>
      <c r="D69" s="253">
        <v>57</v>
      </c>
      <c r="E69" s="49">
        <f t="shared" si="8"/>
        <v>56.999999999999993</v>
      </c>
      <c r="F69" s="68"/>
      <c r="G69" s="128"/>
      <c r="H69" s="55">
        <f t="shared" si="9"/>
        <v>86.338242762823768</v>
      </c>
      <c r="I69" s="2" t="str">
        <f t="shared" si="10"/>
        <v>lait partiellement écrémé</v>
      </c>
      <c r="J69" s="49">
        <f t="shared" si="11"/>
        <v>49.212798374809545</v>
      </c>
      <c r="K69" s="154"/>
      <c r="L69" s="154"/>
      <c r="O69" s="45"/>
      <c r="P69"/>
      <c r="Q69"/>
    </row>
    <row r="70" spans="1:17">
      <c r="A70" s="439">
        <v>6</v>
      </c>
      <c r="B70" s="2" t="s">
        <v>145</v>
      </c>
      <c r="C70" s="249" t="s">
        <v>677</v>
      </c>
      <c r="D70" s="253">
        <v>252</v>
      </c>
      <c r="E70" s="49">
        <f t="shared" si="8"/>
        <v>15.120000000000001</v>
      </c>
      <c r="F70" s="68"/>
      <c r="G70" s="128"/>
      <c r="H70" s="55">
        <f t="shared" si="9"/>
        <v>5.1802945657694259</v>
      </c>
      <c r="I70" s="2" t="str">
        <f t="shared" si="10"/>
        <v>crème</v>
      </c>
      <c r="J70" s="49">
        <f t="shared" si="11"/>
        <v>13.054342305738954</v>
      </c>
      <c r="K70" s="129"/>
      <c r="L70" s="154"/>
      <c r="O70" s="45"/>
      <c r="P70"/>
      <c r="Q70"/>
    </row>
    <row r="71" spans="1:17">
      <c r="A71" s="439">
        <v>2.5</v>
      </c>
      <c r="B71" s="2" t="s">
        <v>109</v>
      </c>
      <c r="C71" s="197" t="s">
        <v>674</v>
      </c>
      <c r="D71" s="253">
        <v>0</v>
      </c>
      <c r="E71" s="49">
        <f>D71/100*A71</f>
        <v>0</v>
      </c>
      <c r="F71" s="68"/>
      <c r="G71" s="128"/>
      <c r="H71" s="55">
        <f>IF(E71=0,A71,A71/E71*J71)</f>
        <v>2.5</v>
      </c>
      <c r="I71" s="2" t="str">
        <f>B71</f>
        <v>sel</v>
      </c>
      <c r="J71" s="49">
        <f>E71*$M$18%</f>
        <v>0</v>
      </c>
      <c r="K71" s="154"/>
      <c r="L71" s="154"/>
      <c r="O71" s="45"/>
      <c r="P71"/>
      <c r="Q71"/>
    </row>
    <row r="72" spans="1:17">
      <c r="A72" s="439">
        <v>1</v>
      </c>
      <c r="B72" s="2" t="s">
        <v>116</v>
      </c>
      <c r="C72" s="199" t="s">
        <v>675</v>
      </c>
      <c r="D72" s="51">
        <v>222</v>
      </c>
      <c r="E72" s="49">
        <f>D72/100*A72</f>
        <v>2.2200000000000002</v>
      </c>
      <c r="F72" s="68"/>
      <c r="G72" s="128"/>
      <c r="H72" s="55">
        <f>IF(E72=0,A72,A72/E72*J72)</f>
        <v>0.86338242762823769</v>
      </c>
      <c r="I72" s="2" t="str">
        <f>B72</f>
        <v>poivre</v>
      </c>
      <c r="J72" s="49">
        <f>E72*$M$18%</f>
        <v>1.9167089893346878</v>
      </c>
      <c r="K72" s="154"/>
      <c r="L72" s="154"/>
      <c r="O72" s="45"/>
      <c r="P72"/>
      <c r="Q72"/>
    </row>
    <row r="73" spans="1:17">
      <c r="A73" s="66" t="s">
        <v>127</v>
      </c>
      <c r="B73" s="257"/>
      <c r="C73" s="257"/>
      <c r="D73" s="257"/>
      <c r="E73" s="257"/>
      <c r="F73" s="68"/>
      <c r="G73" s="260"/>
      <c r="H73" s="257"/>
      <c r="I73" s="257"/>
      <c r="J73" s="258"/>
      <c r="K73" s="154"/>
      <c r="L73" s="154"/>
      <c r="O73" s="45"/>
      <c r="Q73"/>
    </row>
    <row r="74" spans="1:17">
      <c r="A74" s="438">
        <v>150</v>
      </c>
      <c r="B74" s="2" t="s">
        <v>4</v>
      </c>
      <c r="C74" s="199" t="s">
        <v>675</v>
      </c>
      <c r="D74" s="51">
        <v>55</v>
      </c>
      <c r="E74" s="49">
        <f t="shared" ref="E74" si="16">D74/100*A74</f>
        <v>82.5</v>
      </c>
      <c r="F74" s="68"/>
      <c r="G74" s="128"/>
      <c r="H74" s="55">
        <f>IF(E74=0,A74,A74/E74*J74)</f>
        <v>129.50736414423565</v>
      </c>
      <c r="I74" s="2" t="str">
        <f>B74</f>
        <v>pomme</v>
      </c>
      <c r="J74" s="49">
        <f t="shared" si="11"/>
        <v>71.229050279329613</v>
      </c>
      <c r="K74" s="68"/>
      <c r="O74" s="45"/>
      <c r="P74"/>
      <c r="Q74"/>
    </row>
    <row r="75" spans="1:17">
      <c r="A75" s="42"/>
      <c r="B75" s="131"/>
      <c r="C75" s="201"/>
      <c r="E75" s="143" t="s">
        <v>6</v>
      </c>
      <c r="F75" s="138">
        <f>SUM(E57:E74)</f>
        <v>808.70800000000008</v>
      </c>
      <c r="G75" s="25"/>
      <c r="H75" s="42"/>
      <c r="I75" s="131"/>
      <c r="J75" s="143" t="s">
        <v>6</v>
      </c>
      <c r="K75" s="138">
        <f>SUM(J57:J74)</f>
        <v>698.22427628237688</v>
      </c>
      <c r="O75" s="45"/>
      <c r="Q75"/>
    </row>
    <row r="76" spans="1:17">
      <c r="A76" s="54">
        <f>IF(D5="non",0,IF(D5="1 verre",125,250))</f>
        <v>0</v>
      </c>
      <c r="B76" s="2" t="str">
        <f>IF(A76=0,"","vin")</f>
        <v/>
      </c>
      <c r="C76" s="203"/>
      <c r="D76" s="51">
        <v>80</v>
      </c>
      <c r="E76" s="49">
        <f>D76/100*A76</f>
        <v>0</v>
      </c>
      <c r="G76" s="142"/>
      <c r="H76" s="55">
        <f>IF(E76=0,A76,A76/E76*J76)</f>
        <v>0</v>
      </c>
      <c r="I76" s="2" t="str">
        <f>B76</f>
        <v/>
      </c>
      <c r="J76" s="49">
        <f t="shared" si="11"/>
        <v>0</v>
      </c>
      <c r="K76" s="136"/>
      <c r="O76" s="45"/>
      <c r="P76"/>
      <c r="Q76"/>
    </row>
    <row r="77" spans="1:17" ht="6" customHeight="1">
      <c r="A77" s="17"/>
      <c r="B77" s="17"/>
      <c r="C77" s="188"/>
      <c r="D77" s="68"/>
      <c r="E77" s="17"/>
      <c r="F77" s="18"/>
      <c r="G77" s="204"/>
      <c r="H77" s="17"/>
      <c r="I77" s="17"/>
      <c r="J77" s="17"/>
      <c r="K77" s="18"/>
      <c r="P77"/>
      <c r="Q77"/>
    </row>
    <row r="78" spans="1:17">
      <c r="A78" s="17"/>
      <c r="B78" s="17"/>
      <c r="C78" s="188"/>
      <c r="D78" s="69" t="s">
        <v>129</v>
      </c>
      <c r="F78" s="146">
        <f>SUM(F22:F75)</f>
        <v>1969.453</v>
      </c>
      <c r="G78" s="204"/>
      <c r="H78" s="17"/>
      <c r="I78" s="69" t="s">
        <v>129</v>
      </c>
      <c r="K78" s="146">
        <f>SUM(K22:K75)</f>
        <v>1700.3911122397155</v>
      </c>
      <c r="P78"/>
      <c r="Q78"/>
    </row>
    <row r="79" spans="1:17">
      <c r="A79" s="17"/>
      <c r="B79" s="17"/>
      <c r="C79" s="188"/>
      <c r="D79" s="18" t="s">
        <v>130</v>
      </c>
      <c r="E79" s="25"/>
      <c r="F79" s="144">
        <f>F78+E76</f>
        <v>1969.453</v>
      </c>
      <c r="G79" s="43"/>
      <c r="H79" s="42"/>
      <c r="I79" s="18" t="s">
        <v>130</v>
      </c>
      <c r="J79" s="25"/>
      <c r="K79" s="144">
        <f>K78+J76</f>
        <v>1700.3911122397155</v>
      </c>
      <c r="P79"/>
      <c r="Q79"/>
    </row>
    <row r="80" spans="1:17">
      <c r="A80" s="17"/>
      <c r="B80" s="16"/>
      <c r="C80" s="188"/>
      <c r="D80" s="17"/>
      <c r="E80" s="17"/>
      <c r="F80" s="205"/>
      <c r="G80" s="43"/>
      <c r="H80" s="17"/>
      <c r="I80" s="17"/>
      <c r="J80" s="17"/>
      <c r="K80" s="154"/>
      <c r="P80"/>
      <c r="Q80"/>
    </row>
    <row r="81" spans="1:17" ht="19">
      <c r="A81" s="118" t="s">
        <v>100</v>
      </c>
      <c r="B81" s="491" t="s">
        <v>99</v>
      </c>
      <c r="C81" s="491"/>
      <c r="D81" s="17"/>
      <c r="E81" s="17"/>
      <c r="F81" s="18"/>
      <c r="G81" s="18"/>
      <c r="H81" s="17"/>
      <c r="I81" s="17"/>
      <c r="J81" s="17"/>
      <c r="K81" s="154"/>
      <c r="P81"/>
      <c r="Q81"/>
    </row>
    <row r="82" spans="1:17" ht="409" customHeight="1">
      <c r="A82" s="17"/>
      <c r="B82" s="16"/>
      <c r="C82" s="228"/>
      <c r="D82" s="17"/>
      <c r="E82" s="17"/>
      <c r="F82" s="18"/>
      <c r="G82" s="18"/>
      <c r="H82" s="17"/>
      <c r="I82" s="17"/>
      <c r="J82" s="17"/>
      <c r="K82" s="18"/>
      <c r="P82"/>
      <c r="Q82"/>
    </row>
    <row r="83" spans="1:17">
      <c r="A83" s="17"/>
      <c r="B83" s="16"/>
      <c r="C83" s="188"/>
      <c r="D83" s="17"/>
      <c r="E83" s="17"/>
      <c r="F83" s="18"/>
      <c r="G83" s="18"/>
      <c r="H83" s="17"/>
      <c r="I83" s="17"/>
      <c r="J83" s="17"/>
      <c r="K83" s="154"/>
      <c r="P83"/>
      <c r="Q83"/>
    </row>
    <row r="84" spans="1:17">
      <c r="A84" s="17"/>
      <c r="B84" s="16"/>
      <c r="C84" s="188"/>
      <c r="D84" s="17"/>
      <c r="E84" s="17"/>
      <c r="F84" s="18"/>
      <c r="G84" s="18"/>
      <c r="H84" s="17"/>
      <c r="I84" s="17"/>
      <c r="J84" s="17"/>
      <c r="K84" s="154"/>
      <c r="P84"/>
      <c r="Q84"/>
    </row>
    <row r="85" spans="1:17">
      <c r="F85" s="18"/>
      <c r="G85" s="18"/>
      <c r="N85"/>
      <c r="O85"/>
      <c r="P85"/>
      <c r="Q85"/>
    </row>
    <row r="86" spans="1:17">
      <c r="F86" s="206"/>
      <c r="N86"/>
      <c r="O86"/>
      <c r="P86"/>
      <c r="Q86"/>
    </row>
    <row r="87" spans="1:17">
      <c r="B87"/>
      <c r="C87"/>
      <c r="N87"/>
      <c r="O87"/>
      <c r="P87"/>
      <c r="Q87"/>
    </row>
    <row r="88" spans="1:17">
      <c r="B88"/>
      <c r="C88"/>
      <c r="N88"/>
      <c r="O88"/>
      <c r="P88"/>
      <c r="Q88"/>
    </row>
    <row r="89" spans="1:17">
      <c r="B89"/>
      <c r="C89"/>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N100"/>
      <c r="O100"/>
      <c r="P100"/>
      <c r="Q100"/>
    </row>
    <row r="101" spans="2:17">
      <c r="B101"/>
      <c r="C101"/>
      <c r="F101"/>
      <c r="G101"/>
      <c r="K101"/>
      <c r="N101"/>
      <c r="O101"/>
      <c r="P101"/>
      <c r="Q101"/>
    </row>
    <row r="102" spans="2:17">
      <c r="B102"/>
      <c r="C102"/>
      <c r="F102"/>
      <c r="G102"/>
      <c r="K102"/>
      <c r="N102"/>
      <c r="O102"/>
      <c r="P102"/>
      <c r="Q102"/>
    </row>
    <row r="103" spans="2:17">
      <c r="B103"/>
      <c r="C103"/>
      <c r="F103"/>
      <c r="G103"/>
      <c r="K103"/>
      <c r="N103"/>
      <c r="O103"/>
      <c r="P103"/>
      <c r="Q103"/>
    </row>
    <row r="104" spans="2:17">
      <c r="B104"/>
      <c r="C104"/>
      <c r="F104"/>
      <c r="G104"/>
      <c r="K104"/>
      <c r="N104"/>
      <c r="O104"/>
      <c r="P104"/>
      <c r="Q104"/>
    </row>
    <row r="105" spans="2:17">
      <c r="B105"/>
      <c r="C105"/>
      <c r="F105"/>
      <c r="G105"/>
      <c r="K105"/>
      <c r="N105"/>
      <c r="O105"/>
      <c r="P105"/>
      <c r="Q105"/>
    </row>
  </sheetData>
  <sheetProtection password="A5F4" sheet="1" objects="1" scenarios="1" selectLockedCells="1"/>
  <mergeCells count="8">
    <mergeCell ref="B81:C81"/>
    <mergeCell ref="D8:J8"/>
    <mergeCell ref="B15:J15"/>
    <mergeCell ref="A18:A19"/>
    <mergeCell ref="B18:B19"/>
    <mergeCell ref="D18:E18"/>
    <mergeCell ref="H18:H19"/>
    <mergeCell ref="I18:I19"/>
  </mergeCells>
  <dataValidations xWindow="668" yWindow="586" count="3">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Objectif du jour" prompt="Entrez ici l'apport calorique souhaité._x000d_Arrondissez à la centaine inférieure ou supérieure l'estimation obtenue avec le calculateur du feuillet &quot;bilan&quot;._x000d_Cet objectif est ensuite figé pour la totalité de l'exercice (14 jours)." sqref="D7"/>
    <dataValidation allowBlank="1" showErrorMessage="1" promptTitle="Modification des quantités" prompt="Vous pouvez diminuer ou augmenter la quantité,._x000d_Si vous désirez supprimer l'aliment, inscrivez 0 (zéro)." sqref="A1:A69 A70:A1048576"/>
  </dataValidations>
  <hyperlinks>
    <hyperlink ref="B81" location="sommaire!A1" display="RETOUR AU SOMMAIRE"/>
    <hyperlink ref="C81"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668" yWindow="586"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7"/>
  <sheetViews>
    <sheetView workbookViewId="0">
      <selection activeCell="D5" sqref="D5"/>
    </sheetView>
  </sheetViews>
  <sheetFormatPr baseColWidth="10" defaultRowHeight="15" x14ac:dyDescent="0"/>
  <cols>
    <col min="1" max="1" width="6.33203125" customWidth="1"/>
    <col min="2" max="2" width="25.6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124" customWidth="1"/>
    <col min="12" max="12" width="166.33203125" style="242" customWidth="1"/>
    <col min="13" max="13" width="6.6640625" style="407" customWidth="1"/>
    <col min="14" max="14" width="3.33203125" style="44" customWidth="1"/>
    <col min="15" max="17" width="10.83203125" style="44"/>
  </cols>
  <sheetData>
    <row r="1" spans="1:17" ht="19">
      <c r="A1" s="207" t="s">
        <v>699</v>
      </c>
      <c r="B1" s="120"/>
      <c r="C1" s="187"/>
      <c r="D1" s="121"/>
      <c r="E1" s="121"/>
      <c r="F1" s="122"/>
      <c r="G1" s="122"/>
      <c r="H1" s="122"/>
      <c r="I1" s="123" t="s">
        <v>101</v>
      </c>
      <c r="J1" s="266" t="s">
        <v>676</v>
      </c>
      <c r="K1" s="154"/>
      <c r="N1"/>
      <c r="O1"/>
      <c r="P1"/>
      <c r="Q1"/>
    </row>
    <row r="2" spans="1:17">
      <c r="A2" s="17"/>
      <c r="B2" s="16" t="s">
        <v>12</v>
      </c>
      <c r="C2" s="188"/>
      <c r="D2" s="17"/>
      <c r="E2" s="17"/>
      <c r="F2" s="18"/>
      <c r="G2" s="18"/>
      <c r="H2" s="17"/>
      <c r="I2" s="17"/>
      <c r="J2" s="17"/>
      <c r="K2" s="154"/>
      <c r="N2"/>
      <c r="O2"/>
      <c r="P2"/>
      <c r="Q2"/>
    </row>
    <row r="3" spans="1:17">
      <c r="A3" s="16" t="s">
        <v>19</v>
      </c>
      <c r="B3" s="16"/>
      <c r="C3" s="188"/>
      <c r="D3" s="15">
        <f>ROUND(F80,0)</f>
        <v>1993</v>
      </c>
      <c r="E3" s="17" t="s">
        <v>9</v>
      </c>
      <c r="F3" s="18"/>
      <c r="G3" s="18"/>
      <c r="H3" s="42"/>
      <c r="I3" s="42"/>
      <c r="J3" s="42"/>
      <c r="K3" s="154"/>
      <c r="N3"/>
      <c r="O3"/>
      <c r="P3"/>
      <c r="Q3"/>
    </row>
    <row r="4" spans="1:17" ht="12" customHeight="1">
      <c r="A4" s="24" t="s">
        <v>26</v>
      </c>
      <c r="B4" s="16"/>
      <c r="C4" s="188"/>
      <c r="D4" s="19"/>
      <c r="E4" s="17"/>
      <c r="F4" s="18"/>
      <c r="G4" s="18"/>
      <c r="H4" s="17"/>
      <c r="I4" s="17"/>
      <c r="J4" s="17"/>
      <c r="K4" s="154"/>
      <c r="N4"/>
      <c r="O4"/>
      <c r="P4"/>
      <c r="Q4"/>
    </row>
    <row r="5" spans="1:17">
      <c r="A5" s="16" t="s">
        <v>29</v>
      </c>
      <c r="B5" s="16"/>
      <c r="C5" s="189" t="s">
        <v>25</v>
      </c>
      <c r="D5" s="436" t="s">
        <v>10</v>
      </c>
      <c r="E5" s="17" t="str">
        <f>IF(D5="non","",IF(D5=1,d!B22,d!B23))</f>
        <v/>
      </c>
      <c r="F5" s="18"/>
      <c r="G5" s="18"/>
      <c r="H5" s="17"/>
      <c r="I5" s="17"/>
      <c r="J5" s="17"/>
      <c r="K5" s="154"/>
      <c r="N5"/>
      <c r="O5"/>
      <c r="P5"/>
      <c r="Q5"/>
    </row>
    <row r="6" spans="1:17">
      <c r="A6" s="16" t="s">
        <v>18</v>
      </c>
      <c r="B6" s="16"/>
      <c r="C6" s="188"/>
      <c r="D6" s="437">
        <v>0</v>
      </c>
      <c r="E6" s="17" t="s">
        <v>9</v>
      </c>
      <c r="F6" s="98"/>
      <c r="G6" s="414" t="s">
        <v>100</v>
      </c>
      <c r="H6" s="415" t="s">
        <v>33</v>
      </c>
      <c r="I6" s="17"/>
      <c r="J6" s="17"/>
      <c r="K6" s="154"/>
      <c r="N6"/>
      <c r="O6"/>
      <c r="P6"/>
      <c r="Q6"/>
    </row>
    <row r="7" spans="1:17">
      <c r="A7" s="21" t="s">
        <v>35</v>
      </c>
      <c r="B7" s="16"/>
      <c r="C7" s="189"/>
      <c r="D7" s="15">
        <f>jour_1!D7</f>
        <v>1700</v>
      </c>
      <c r="E7" s="17" t="s">
        <v>9</v>
      </c>
      <c r="F7" s="18"/>
      <c r="G7" s="416"/>
      <c r="H7" s="417" t="s">
        <v>816</v>
      </c>
      <c r="I7" s="17"/>
      <c r="J7" s="17"/>
      <c r="K7" s="154"/>
      <c r="N7"/>
      <c r="O7"/>
      <c r="P7"/>
      <c r="Q7"/>
    </row>
    <row r="8" spans="1:17" ht="45" customHeight="1">
      <c r="A8" s="17"/>
      <c r="B8" s="16"/>
      <c r="C8" s="188"/>
      <c r="D8" s="480" t="str">
        <f>IF(D5="non","",d!A24)</f>
        <v/>
      </c>
      <c r="E8" s="480"/>
      <c r="F8" s="480"/>
      <c r="G8" s="480"/>
      <c r="H8" s="480"/>
      <c r="I8" s="480"/>
      <c r="J8" s="480"/>
      <c r="K8" s="155"/>
      <c r="L8" s="243"/>
      <c r="N8"/>
      <c r="O8"/>
      <c r="P8"/>
      <c r="Q8"/>
    </row>
    <row r="9" spans="1:17" ht="6" customHeight="1">
      <c r="A9" s="17"/>
      <c r="B9" s="16"/>
      <c r="C9" s="188"/>
      <c r="D9" s="18"/>
      <c r="E9" s="17"/>
      <c r="F9" s="18"/>
      <c r="G9" s="18"/>
      <c r="H9" s="17"/>
      <c r="I9" s="17"/>
      <c r="J9" s="17"/>
      <c r="K9" s="154"/>
      <c r="N9"/>
      <c r="O9"/>
      <c r="P9"/>
      <c r="Q9"/>
    </row>
    <row r="10" spans="1:17">
      <c r="A10" s="17"/>
      <c r="B10" s="26" t="s">
        <v>14</v>
      </c>
      <c r="C10" s="190"/>
      <c r="D10" s="28"/>
      <c r="E10" s="28"/>
      <c r="F10" s="133"/>
      <c r="G10" s="133"/>
      <c r="H10" s="28"/>
      <c r="I10" s="28"/>
      <c r="J10" s="29"/>
      <c r="K10" s="154"/>
      <c r="N10"/>
      <c r="O10"/>
      <c r="P10"/>
      <c r="Q10"/>
    </row>
    <row r="11" spans="1:17">
      <c r="A11" s="17"/>
      <c r="B11" s="30" t="s">
        <v>15</v>
      </c>
      <c r="C11" s="191"/>
      <c r="D11" s="15">
        <f>D7+D6</f>
        <v>1700</v>
      </c>
      <c r="E11" s="32" t="s">
        <v>7</v>
      </c>
      <c r="F11" s="31"/>
      <c r="G11" s="31"/>
      <c r="H11" s="33"/>
      <c r="I11" s="33"/>
      <c r="J11" s="34"/>
      <c r="K11" s="154"/>
      <c r="N11"/>
      <c r="O11"/>
      <c r="P11"/>
      <c r="Q11"/>
    </row>
    <row r="12" spans="1:17">
      <c r="A12" s="17"/>
      <c r="B12" s="30" t="s">
        <v>16</v>
      </c>
      <c r="C12" s="191"/>
      <c r="D12" s="23">
        <f>ABS(M13)</f>
        <v>293</v>
      </c>
      <c r="E12" s="32" t="s">
        <v>7</v>
      </c>
      <c r="F12" s="32" t="str">
        <f>IF(M13&gt;0,d!A44,d!A45)</f>
        <v>de moins que les menus Pan Metron du jour</v>
      </c>
      <c r="G12" s="31"/>
      <c r="H12" s="33"/>
      <c r="I12" s="33"/>
      <c r="J12" s="34"/>
      <c r="K12" s="154"/>
      <c r="N12"/>
      <c r="O12"/>
      <c r="P12"/>
      <c r="Q12"/>
    </row>
    <row r="13" spans="1:17" ht="13" customHeight="1">
      <c r="A13" s="24"/>
      <c r="B13" s="35"/>
      <c r="C13" s="192"/>
      <c r="D13" s="37"/>
      <c r="E13" s="1"/>
      <c r="F13" s="38" t="str">
        <f>IF(D5="non","",d!A46)</f>
        <v/>
      </c>
      <c r="G13" s="39"/>
      <c r="H13" s="38"/>
      <c r="I13" s="38"/>
      <c r="J13" s="40"/>
      <c r="K13" s="154"/>
      <c r="M13" s="408">
        <f>D3+E78-D11</f>
        <v>293</v>
      </c>
      <c r="N13"/>
      <c r="O13"/>
      <c r="P13"/>
      <c r="Q13"/>
    </row>
    <row r="14" spans="1:17" ht="8" customHeight="1">
      <c r="A14" s="24"/>
      <c r="B14" s="41"/>
      <c r="C14" s="193"/>
      <c r="D14" s="19"/>
      <c r="E14" s="42"/>
      <c r="F14" s="43"/>
      <c r="G14" s="43"/>
      <c r="H14" s="42"/>
      <c r="I14" s="42"/>
      <c r="J14" s="42"/>
      <c r="K14" s="154"/>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156"/>
      <c r="L15" s="244"/>
      <c r="M15" s="409"/>
      <c r="N15"/>
      <c r="O15"/>
      <c r="P15"/>
      <c r="Q15"/>
    </row>
    <row r="16" spans="1:17" ht="12" customHeight="1">
      <c r="A16" s="17"/>
      <c r="B16" s="22"/>
      <c r="C16" s="194"/>
      <c r="D16" s="22"/>
      <c r="E16" s="22"/>
      <c r="F16" s="134"/>
      <c r="G16" s="134"/>
      <c r="H16" s="22"/>
      <c r="I16" s="22"/>
      <c r="J16" s="22"/>
      <c r="K16" s="156"/>
      <c r="L16" s="244"/>
      <c r="N16"/>
      <c r="O16"/>
      <c r="P16"/>
      <c r="Q16"/>
    </row>
    <row r="17" spans="1:17" ht="17" customHeight="1">
      <c r="A17" s="60" t="s">
        <v>24</v>
      </c>
      <c r="B17" s="61"/>
      <c r="C17" s="195"/>
      <c r="D17" s="61"/>
      <c r="E17" s="62"/>
      <c r="F17" s="134"/>
      <c r="G17" s="141"/>
      <c r="H17" s="57" t="s">
        <v>36</v>
      </c>
      <c r="I17" s="58"/>
      <c r="J17" s="59"/>
      <c r="K17" s="156"/>
      <c r="L17" s="244"/>
      <c r="M17" s="269" t="s">
        <v>133</v>
      </c>
      <c r="O17" s="148"/>
      <c r="Q17"/>
    </row>
    <row r="18" spans="1:17">
      <c r="A18" s="485" t="s">
        <v>11</v>
      </c>
      <c r="B18" s="483" t="s">
        <v>227</v>
      </c>
      <c r="C18" s="265"/>
      <c r="D18" s="481" t="s">
        <v>7</v>
      </c>
      <c r="E18" s="482"/>
      <c r="F18" s="18"/>
      <c r="G18" s="43"/>
      <c r="H18" s="487" t="str">
        <f>A18</f>
        <v>g/cl</v>
      </c>
      <c r="I18" s="489" t="str">
        <f>B18</f>
        <v>Ingrédients</v>
      </c>
      <c r="J18" s="70" t="s">
        <v>7</v>
      </c>
      <c r="K18" s="154"/>
      <c r="M18" s="411">
        <f>100-(D12/((D11+D12)/100))</f>
        <v>85.298544907175113</v>
      </c>
      <c r="Q18"/>
    </row>
    <row r="19" spans="1:17" ht="12" customHeight="1">
      <c r="A19" s="486"/>
      <c r="B19" s="484"/>
      <c r="C19" s="73"/>
      <c r="D19" s="72" t="s">
        <v>22</v>
      </c>
      <c r="E19" s="73" t="s">
        <v>23</v>
      </c>
      <c r="F19" s="18"/>
      <c r="G19" s="43"/>
      <c r="H19" s="488"/>
      <c r="I19" s="490"/>
      <c r="J19" s="71" t="s">
        <v>23</v>
      </c>
      <c r="K19" s="154"/>
      <c r="M19" s="269"/>
      <c r="Q19"/>
    </row>
    <row r="20" spans="1:17" ht="8" customHeight="1">
      <c r="A20" s="17"/>
      <c r="B20" s="16"/>
      <c r="C20" s="209"/>
      <c r="D20" s="17"/>
      <c r="E20" s="17"/>
      <c r="F20" s="18"/>
      <c r="G20" s="43"/>
      <c r="H20" s="17"/>
      <c r="I20" s="17"/>
      <c r="J20" s="17"/>
      <c r="K20" s="154"/>
      <c r="L20" s="154"/>
      <c r="P20"/>
      <c r="Q20"/>
    </row>
    <row r="21" spans="1:17">
      <c r="A21" s="216" t="s">
        <v>243</v>
      </c>
      <c r="B21" s="16"/>
      <c r="C21" s="209"/>
      <c r="D21" s="17"/>
      <c r="E21" s="17"/>
      <c r="F21" s="18"/>
      <c r="G21" s="43"/>
      <c r="H21" s="17"/>
      <c r="I21" s="17"/>
      <c r="J21" s="17"/>
      <c r="K21" s="154"/>
      <c r="L21" s="154"/>
      <c r="P21"/>
      <c r="Q21"/>
    </row>
    <row r="22" spans="1:17">
      <c r="A22" s="438">
        <v>60</v>
      </c>
      <c r="B22" s="2" t="s">
        <v>134</v>
      </c>
      <c r="C22" s="185" t="s">
        <v>676</v>
      </c>
      <c r="D22" s="51">
        <v>134</v>
      </c>
      <c r="E22" s="49">
        <f t="shared" ref="E22:E28" si="0">D22/100*A22</f>
        <v>80.400000000000006</v>
      </c>
      <c r="F22" s="18"/>
      <c r="G22" s="43"/>
      <c r="H22" s="55">
        <f t="shared" ref="H22:H28" si="1">IF(E22=0,A22,A22/E22*J22)</f>
        <v>51.179126944305061</v>
      </c>
      <c r="I22" s="2" t="str">
        <f t="shared" ref="I22:I28" si="2">B22</f>
        <v>œuf à la coque</v>
      </c>
      <c r="J22" s="49">
        <f>E22*$M$18%</f>
        <v>68.580030105368792</v>
      </c>
      <c r="K22" s="154"/>
      <c r="M22" s="411"/>
      <c r="Q22"/>
    </row>
    <row r="23" spans="1:17">
      <c r="A23" s="438">
        <v>0.5</v>
      </c>
      <c r="B23" s="2" t="s">
        <v>109</v>
      </c>
      <c r="C23" s="197" t="s">
        <v>674</v>
      </c>
      <c r="D23" s="51">
        <v>0</v>
      </c>
      <c r="E23" s="49">
        <f t="shared" si="0"/>
        <v>0</v>
      </c>
      <c r="F23" s="18"/>
      <c r="G23" s="43"/>
      <c r="H23" s="55">
        <f t="shared" si="1"/>
        <v>0.5</v>
      </c>
      <c r="I23" s="2" t="str">
        <f t="shared" si="2"/>
        <v>sel</v>
      </c>
      <c r="J23" s="49">
        <f t="shared" ref="J23:J28" si="3">E23*$M$18%</f>
        <v>0</v>
      </c>
      <c r="K23" s="154"/>
      <c r="Q23"/>
    </row>
    <row r="24" spans="1:17">
      <c r="A24" s="438">
        <v>40</v>
      </c>
      <c r="B24" s="2" t="s">
        <v>102</v>
      </c>
      <c r="C24" s="196" t="s">
        <v>673</v>
      </c>
      <c r="D24" s="51">
        <v>229</v>
      </c>
      <c r="E24" s="49">
        <f t="shared" si="0"/>
        <v>91.6</v>
      </c>
      <c r="F24" s="18"/>
      <c r="G24" s="43"/>
      <c r="H24" s="55">
        <f t="shared" si="1"/>
        <v>34.119417962870038</v>
      </c>
      <c r="I24" s="2" t="str">
        <f t="shared" si="2"/>
        <v>pain complet</v>
      </c>
      <c r="J24" s="49">
        <f t="shared" si="3"/>
        <v>78.133467134972392</v>
      </c>
      <c r="K24" s="154"/>
      <c r="O24" s="45"/>
      <c r="Q24"/>
    </row>
    <row r="25" spans="1:17">
      <c r="A25" s="438">
        <v>125</v>
      </c>
      <c r="B25" s="2" t="s">
        <v>137</v>
      </c>
      <c r="C25" s="185" t="s">
        <v>676</v>
      </c>
      <c r="D25" s="51">
        <v>71</v>
      </c>
      <c r="E25" s="49">
        <f t="shared" si="0"/>
        <v>88.75</v>
      </c>
      <c r="F25" s="18"/>
      <c r="G25" s="43"/>
      <c r="H25" s="55">
        <f t="shared" si="1"/>
        <v>106.62318113396888</v>
      </c>
      <c r="I25" s="2" t="str">
        <f t="shared" si="2"/>
        <v>fromage blanc 20%</v>
      </c>
      <c r="J25" s="49">
        <f t="shared" si="3"/>
        <v>75.702458605117911</v>
      </c>
      <c r="K25" s="154"/>
      <c r="O25" s="45"/>
      <c r="Q25"/>
    </row>
    <row r="26" spans="1:17">
      <c r="A26" s="438">
        <v>100</v>
      </c>
      <c r="B26" s="2" t="s">
        <v>136</v>
      </c>
      <c r="C26" s="199" t="s">
        <v>675</v>
      </c>
      <c r="D26" s="51">
        <v>67</v>
      </c>
      <c r="E26" s="49">
        <f t="shared" si="0"/>
        <v>67</v>
      </c>
      <c r="F26" s="18"/>
      <c r="G26" s="43"/>
      <c r="H26" s="55">
        <f t="shared" si="1"/>
        <v>85.298544907175113</v>
      </c>
      <c r="I26" s="2" t="str">
        <f t="shared" si="2"/>
        <v>salade de fruits frais</v>
      </c>
      <c r="J26" s="49">
        <f t="shared" si="3"/>
        <v>57.150025087807322</v>
      </c>
      <c r="K26" s="154"/>
      <c r="O26" s="45"/>
      <c r="Q26"/>
    </row>
    <row r="27" spans="1:17">
      <c r="A27" s="438">
        <v>150</v>
      </c>
      <c r="B27" s="2" t="s">
        <v>135</v>
      </c>
      <c r="C27" s="203"/>
      <c r="D27" s="51">
        <v>0</v>
      </c>
      <c r="E27" s="49">
        <f t="shared" si="0"/>
        <v>0</v>
      </c>
      <c r="F27" s="18"/>
      <c r="G27" s="43"/>
      <c r="H27" s="55">
        <f t="shared" si="1"/>
        <v>150</v>
      </c>
      <c r="I27" s="2" t="str">
        <f t="shared" si="2"/>
        <v>thé</v>
      </c>
      <c r="J27" s="49">
        <f t="shared" si="3"/>
        <v>0</v>
      </c>
      <c r="K27" s="154"/>
      <c r="O27" s="45"/>
      <c r="Q27"/>
    </row>
    <row r="28" spans="1:17">
      <c r="A28" s="438">
        <v>12</v>
      </c>
      <c r="B28" s="2" t="s">
        <v>2</v>
      </c>
      <c r="C28" s="197" t="s">
        <v>674</v>
      </c>
      <c r="D28" s="51">
        <v>400</v>
      </c>
      <c r="E28" s="49">
        <f t="shared" si="0"/>
        <v>48</v>
      </c>
      <c r="F28" s="68"/>
      <c r="G28" s="128"/>
      <c r="H28" s="55">
        <f t="shared" si="1"/>
        <v>10.235825388861013</v>
      </c>
      <c r="I28" s="2" t="str">
        <f t="shared" si="2"/>
        <v>sucre</v>
      </c>
      <c r="J28" s="49">
        <f t="shared" si="3"/>
        <v>40.943301555444052</v>
      </c>
      <c r="K28" s="129"/>
      <c r="O28" s="45"/>
      <c r="Q28"/>
    </row>
    <row r="29" spans="1:17">
      <c r="A29" s="42"/>
      <c r="B29" s="131"/>
      <c r="C29" s="200"/>
      <c r="E29" s="130" t="s">
        <v>6</v>
      </c>
      <c r="F29" s="135">
        <f>SUM(E22:E28)</f>
        <v>375.75</v>
      </c>
      <c r="G29" s="128"/>
      <c r="H29" s="42"/>
      <c r="I29" s="131"/>
      <c r="J29" s="130" t="s">
        <v>6</v>
      </c>
      <c r="K29" s="135">
        <f>SUM(J22:J28)</f>
        <v>320.50928248871048</v>
      </c>
      <c r="O29" s="45"/>
      <c r="Q29"/>
    </row>
    <row r="30" spans="1:17">
      <c r="A30" s="216" t="s">
        <v>225</v>
      </c>
      <c r="B30" s="16"/>
      <c r="C30" s="209"/>
      <c r="D30" s="17"/>
      <c r="E30" s="17"/>
      <c r="F30" s="18"/>
      <c r="G30" s="43"/>
      <c r="H30" s="17"/>
      <c r="I30" s="17"/>
      <c r="J30" s="17"/>
      <c r="K30" s="154"/>
      <c r="L30" s="154"/>
      <c r="P30"/>
      <c r="Q30"/>
    </row>
    <row r="31" spans="1:17">
      <c r="A31" s="66" t="s">
        <v>305</v>
      </c>
      <c r="B31" s="257"/>
      <c r="C31" s="257"/>
      <c r="D31" s="257"/>
      <c r="E31" s="257"/>
      <c r="F31" s="257"/>
      <c r="G31" s="257"/>
      <c r="H31" s="257"/>
      <c r="I31" s="257"/>
      <c r="J31" s="258"/>
      <c r="K31" s="154"/>
      <c r="L31" s="154"/>
      <c r="O31" s="45"/>
      <c r="Q31"/>
    </row>
    <row r="32" spans="1:17">
      <c r="A32" s="439">
        <f>(125*6)/4</f>
        <v>187.5</v>
      </c>
      <c r="B32" s="2" t="s">
        <v>296</v>
      </c>
      <c r="C32" s="273" t="s">
        <v>676</v>
      </c>
      <c r="D32" s="253">
        <v>30</v>
      </c>
      <c r="E32" s="254">
        <f t="shared" ref="E32:E40" si="4">D32/100*A32</f>
        <v>56.25</v>
      </c>
      <c r="F32" s="18"/>
      <c r="G32" s="43"/>
      <c r="H32" s="255">
        <f t="shared" ref="H32:H40" si="5">IF(E32=0,A32,A32/E32*J32)</f>
        <v>159.93477170095335</v>
      </c>
      <c r="I32" s="251" t="str">
        <f t="shared" ref="I32:I42" si="6">B32</f>
        <v>6 carottes</v>
      </c>
      <c r="J32" s="254">
        <f t="shared" ref="J32:J42" si="7">E32*$M$18%</f>
        <v>47.980431510286003</v>
      </c>
      <c r="K32" s="154"/>
      <c r="O32" s="45"/>
      <c r="Q32"/>
    </row>
    <row r="33" spans="1:17">
      <c r="A33" s="439">
        <f>165/4</f>
        <v>41.25</v>
      </c>
      <c r="B33" s="2" t="s">
        <v>297</v>
      </c>
      <c r="C33" s="273" t="s">
        <v>676</v>
      </c>
      <c r="D33" s="253">
        <v>30</v>
      </c>
      <c r="E33" s="49">
        <f t="shared" si="4"/>
        <v>12.375</v>
      </c>
      <c r="F33" s="68"/>
      <c r="G33" s="128"/>
      <c r="H33" s="55">
        <f t="shared" si="5"/>
        <v>35.185649774209736</v>
      </c>
      <c r="I33" s="2" t="str">
        <f t="shared" si="6"/>
        <v>1 poireau</v>
      </c>
      <c r="J33" s="49">
        <f t="shared" si="7"/>
        <v>10.55569493226292</v>
      </c>
      <c r="K33" s="154"/>
      <c r="O33" s="45"/>
      <c r="Q33"/>
    </row>
    <row r="34" spans="1:17">
      <c r="A34" s="439">
        <v>25</v>
      </c>
      <c r="B34" s="2" t="s">
        <v>298</v>
      </c>
      <c r="C34" s="273" t="s">
        <v>676</v>
      </c>
      <c r="D34" s="253">
        <v>29</v>
      </c>
      <c r="E34" s="49">
        <f t="shared" si="4"/>
        <v>7.2499999999999991</v>
      </c>
      <c r="F34" s="68"/>
      <c r="G34" s="128"/>
      <c r="H34" s="55">
        <f t="shared" si="5"/>
        <v>21.324636226793775</v>
      </c>
      <c r="I34" s="2" t="str">
        <f t="shared" si="6"/>
        <v>1 oignon</v>
      </c>
      <c r="J34" s="49">
        <f t="shared" si="7"/>
        <v>6.1841445057701945</v>
      </c>
      <c r="K34" s="154"/>
      <c r="O34" s="45"/>
      <c r="Q34"/>
    </row>
    <row r="35" spans="1:17">
      <c r="A35" s="439">
        <v>150</v>
      </c>
      <c r="B35" s="2" t="s">
        <v>299</v>
      </c>
      <c r="C35" s="273" t="s">
        <v>676</v>
      </c>
      <c r="D35" s="253">
        <v>98</v>
      </c>
      <c r="E35" s="49">
        <f t="shared" si="4"/>
        <v>147</v>
      </c>
      <c r="F35" s="68"/>
      <c r="G35" s="128"/>
      <c r="H35" s="55">
        <f t="shared" si="5"/>
        <v>127.94781736076267</v>
      </c>
      <c r="I35" s="2" t="str">
        <f t="shared" si="6"/>
        <v>600 g. d'émincé de veau</v>
      </c>
      <c r="J35" s="49">
        <f t="shared" si="7"/>
        <v>125.38886101354741</v>
      </c>
      <c r="K35" s="154"/>
      <c r="O35" s="45"/>
      <c r="Q35"/>
    </row>
    <row r="36" spans="1:17">
      <c r="A36" s="439">
        <v>4.5</v>
      </c>
      <c r="B36" s="2" t="s">
        <v>303</v>
      </c>
      <c r="C36" s="249" t="s">
        <v>677</v>
      </c>
      <c r="D36" s="253">
        <v>899</v>
      </c>
      <c r="E36" s="49">
        <f t="shared" si="4"/>
        <v>40.454999999999998</v>
      </c>
      <c r="F36" s="68"/>
      <c r="G36" s="128"/>
      <c r="H36" s="55">
        <f t="shared" si="5"/>
        <v>3.8384345208228803</v>
      </c>
      <c r="I36" s="2" t="str">
        <f t="shared" si="6"/>
        <v>1 c.s. d'huile de tournesol</v>
      </c>
      <c r="J36" s="49">
        <f t="shared" si="7"/>
        <v>34.507526342197693</v>
      </c>
      <c r="K36" s="154"/>
      <c r="O36" s="45"/>
      <c r="Q36"/>
    </row>
    <row r="37" spans="1:17">
      <c r="A37" s="439">
        <v>2.5</v>
      </c>
      <c r="B37" s="2" t="s">
        <v>300</v>
      </c>
      <c r="C37" s="197" t="s">
        <v>674</v>
      </c>
      <c r="D37" s="253">
        <v>240</v>
      </c>
      <c r="E37" s="49">
        <f t="shared" si="4"/>
        <v>6</v>
      </c>
      <c r="F37" s="68"/>
      <c r="G37" s="128"/>
      <c r="H37" s="55">
        <f t="shared" si="5"/>
        <v>2.1324636226793778</v>
      </c>
      <c r="I37" s="2" t="str">
        <f t="shared" si="6"/>
        <v>1 cube de bouillon boeuf</v>
      </c>
      <c r="J37" s="49">
        <f t="shared" si="7"/>
        <v>5.1179126944305064</v>
      </c>
      <c r="K37" s="154"/>
      <c r="O37" s="45"/>
      <c r="Q37"/>
    </row>
    <row r="38" spans="1:17">
      <c r="A38" s="439">
        <v>12.5</v>
      </c>
      <c r="B38" s="2" t="s">
        <v>304</v>
      </c>
      <c r="C38" s="203"/>
      <c r="D38" s="253"/>
      <c r="E38" s="49">
        <f t="shared" si="4"/>
        <v>0</v>
      </c>
      <c r="F38" s="68"/>
      <c r="G38" s="128"/>
      <c r="H38" s="55">
        <f t="shared" si="5"/>
        <v>12.5</v>
      </c>
      <c r="I38" s="2" t="str">
        <f t="shared" si="6"/>
        <v>0.5 dl de vin blanc</v>
      </c>
      <c r="J38" s="49">
        <f t="shared" si="7"/>
        <v>0</v>
      </c>
      <c r="K38" s="154"/>
      <c r="O38" s="45"/>
      <c r="Q38"/>
    </row>
    <row r="39" spans="1:17">
      <c r="A39" s="439">
        <v>12</v>
      </c>
      <c r="B39" s="2" t="s">
        <v>301</v>
      </c>
      <c r="C39" s="197" t="s">
        <v>674</v>
      </c>
      <c r="D39" s="253">
        <v>252</v>
      </c>
      <c r="E39" s="49">
        <f t="shared" si="4"/>
        <v>30.240000000000002</v>
      </c>
      <c r="F39" s="68"/>
      <c r="G39" s="128"/>
      <c r="H39" s="55">
        <f t="shared" si="5"/>
        <v>10.235825388861013</v>
      </c>
      <c r="I39" s="2" t="str">
        <f t="shared" si="6"/>
        <v xml:space="preserve">4 c.s. de crème </v>
      </c>
      <c r="J39" s="49">
        <f t="shared" si="7"/>
        <v>25.794279979929755</v>
      </c>
      <c r="K39" s="154"/>
      <c r="O39" s="45"/>
      <c r="Q39"/>
    </row>
    <row r="40" spans="1:17">
      <c r="A40" s="438">
        <v>62.5</v>
      </c>
      <c r="B40" s="107" t="s">
        <v>302</v>
      </c>
      <c r="C40" s="196" t="s">
        <v>673</v>
      </c>
      <c r="D40" s="51">
        <v>349</v>
      </c>
      <c r="E40" s="49">
        <f t="shared" si="4"/>
        <v>218.125</v>
      </c>
      <c r="F40" s="68"/>
      <c r="G40" s="128"/>
      <c r="H40" s="55">
        <f t="shared" si="5"/>
        <v>53.311590566984435</v>
      </c>
      <c r="I40" s="2" t="str">
        <f t="shared" si="6"/>
        <v>riz  (sec)</v>
      </c>
      <c r="J40" s="49">
        <f t="shared" si="7"/>
        <v>186.0574510787757</v>
      </c>
      <c r="K40" s="154"/>
      <c r="O40" s="45"/>
      <c r="Q40"/>
    </row>
    <row r="41" spans="1:17">
      <c r="A41" s="66" t="s">
        <v>127</v>
      </c>
      <c r="B41" s="63"/>
      <c r="C41" s="202"/>
      <c r="D41" s="63"/>
      <c r="E41" s="64"/>
      <c r="F41" s="18"/>
      <c r="G41" s="43"/>
      <c r="H41" s="65"/>
      <c r="I41" s="63"/>
      <c r="J41" s="67"/>
      <c r="K41" s="154"/>
      <c r="O41" s="45"/>
      <c r="Q41"/>
    </row>
    <row r="42" spans="1:17">
      <c r="A42" s="439">
        <v>80</v>
      </c>
      <c r="B42" s="2" t="s">
        <v>306</v>
      </c>
      <c r="C42" s="249" t="s">
        <v>677</v>
      </c>
      <c r="D42" s="253">
        <v>135</v>
      </c>
      <c r="E42" s="49">
        <f>D42/100*A42</f>
        <v>108</v>
      </c>
      <c r="F42" s="18"/>
      <c r="G42" s="43"/>
      <c r="H42" s="55">
        <f>IF(E42=0,A42,A42/E42*J42)</f>
        <v>68.238835925740091</v>
      </c>
      <c r="I42" s="56" t="str">
        <f t="shared" si="6"/>
        <v>sorbet aux fruits</v>
      </c>
      <c r="J42" s="49">
        <f t="shared" si="7"/>
        <v>92.12242849974912</v>
      </c>
      <c r="K42" s="129"/>
      <c r="O42" s="45"/>
      <c r="P42"/>
      <c r="Q42"/>
    </row>
    <row r="43" spans="1:17">
      <c r="A43" s="42"/>
      <c r="B43" s="131"/>
      <c r="C43" s="200"/>
      <c r="E43" s="130" t="s">
        <v>6</v>
      </c>
      <c r="F43" s="138">
        <f>SUM(E32:E42)</f>
        <v>625.69499999999994</v>
      </c>
      <c r="G43" s="128"/>
      <c r="H43" s="42"/>
      <c r="I43" s="131"/>
      <c r="J43" s="130" t="s">
        <v>6</v>
      </c>
      <c r="K43" s="138">
        <f>SUM(J32:J42)</f>
        <v>533.70873055694938</v>
      </c>
      <c r="O43" s="45"/>
      <c r="Q43"/>
    </row>
    <row r="44" spans="1:17" ht="6" customHeight="1">
      <c r="A44" s="17"/>
      <c r="B44" s="17"/>
      <c r="C44" s="188"/>
      <c r="D44" s="68"/>
      <c r="E44" s="17"/>
      <c r="F44" s="18"/>
      <c r="G44" s="43"/>
      <c r="H44" s="17"/>
      <c r="I44" s="17"/>
      <c r="J44" s="17"/>
      <c r="O44" s="45"/>
      <c r="P44"/>
      <c r="Q44"/>
    </row>
    <row r="45" spans="1:17">
      <c r="A45" s="216" t="s">
        <v>228</v>
      </c>
      <c r="B45" s="16"/>
      <c r="C45" s="209"/>
      <c r="D45" s="17"/>
      <c r="E45" s="17"/>
      <c r="F45" s="18"/>
      <c r="G45" s="43"/>
      <c r="H45" s="17"/>
      <c r="I45" s="17"/>
      <c r="J45" s="17"/>
      <c r="K45" s="154"/>
      <c r="P45"/>
      <c r="Q45"/>
    </row>
    <row r="46" spans="1:17">
      <c r="A46" s="438">
        <v>150</v>
      </c>
      <c r="B46" s="107" t="s">
        <v>203</v>
      </c>
      <c r="C46" s="185" t="s">
        <v>676</v>
      </c>
      <c r="D46" s="51">
        <v>40</v>
      </c>
      <c r="E46" s="49">
        <f>D46/100*A46</f>
        <v>60</v>
      </c>
      <c r="F46" s="18"/>
      <c r="G46" s="43"/>
      <c r="H46" s="55">
        <f>IF(E46=0,A46,A46/E46*J46)</f>
        <v>127.94781736076267</v>
      </c>
      <c r="I46" s="2" t="str">
        <f>B46</f>
        <v>orange</v>
      </c>
      <c r="J46" s="49">
        <f>E46*$M$18%</f>
        <v>51.179126944305068</v>
      </c>
      <c r="K46" s="154"/>
    </row>
    <row r="47" spans="1:17">
      <c r="A47" s="42"/>
      <c r="B47" s="157"/>
      <c r="C47" s="272"/>
      <c r="E47" s="130" t="s">
        <v>6</v>
      </c>
      <c r="F47" s="138">
        <f>SUM(E46:E46)</f>
        <v>60</v>
      </c>
      <c r="G47" s="140"/>
      <c r="H47" s="42"/>
      <c r="I47" s="131"/>
      <c r="J47" s="130" t="s">
        <v>6</v>
      </c>
      <c r="K47" s="138">
        <f>SUM(J46:J46)</f>
        <v>51.179126944305068</v>
      </c>
      <c r="O47" s="45"/>
      <c r="Q47"/>
    </row>
    <row r="48" spans="1:17">
      <c r="A48" s="216" t="s">
        <v>226</v>
      </c>
      <c r="B48" s="16"/>
      <c r="C48" s="209"/>
      <c r="D48" s="17"/>
      <c r="E48" s="17"/>
      <c r="F48" s="18"/>
      <c r="G48" s="43"/>
      <c r="H48" s="17"/>
      <c r="I48" s="17"/>
      <c r="J48" s="17"/>
      <c r="K48" s="154"/>
      <c r="P48"/>
      <c r="Q48"/>
    </row>
    <row r="49" spans="1:17">
      <c r="A49" s="66" t="s">
        <v>310</v>
      </c>
      <c r="B49" s="257"/>
      <c r="C49" s="257"/>
      <c r="D49" s="257"/>
      <c r="E49" s="257"/>
      <c r="F49" s="257"/>
      <c r="G49" s="257"/>
      <c r="H49" s="257"/>
      <c r="I49" s="257"/>
      <c r="J49" s="258"/>
      <c r="K49" s="154"/>
      <c r="O49" s="45"/>
      <c r="Q49"/>
    </row>
    <row r="50" spans="1:17">
      <c r="A50" s="439">
        <v>10</v>
      </c>
      <c r="B50" s="2" t="s">
        <v>702</v>
      </c>
      <c r="C50" s="273" t="s">
        <v>676</v>
      </c>
      <c r="D50" s="253">
        <v>35</v>
      </c>
      <c r="E50" s="49">
        <f t="shared" ref="E50:E67" si="8">D50/100*A50</f>
        <v>3.5</v>
      </c>
      <c r="F50" s="68"/>
      <c r="G50" s="128"/>
      <c r="H50" s="55">
        <f t="shared" ref="H50:H67" si="9">IF(E50=0,A50,A50/E50*J50)</f>
        <v>8.5298544907175113</v>
      </c>
      <c r="I50" s="2" t="str">
        <f t="shared" ref="I50:I64" si="10">B50</f>
        <v xml:space="preserve"> échalottes</v>
      </c>
      <c r="J50" s="49">
        <f t="shared" ref="J50:J78" si="11">E50*$M$18%</f>
        <v>2.9854490717511291</v>
      </c>
      <c r="K50" s="154"/>
      <c r="L50" s="154"/>
      <c r="O50" s="45"/>
      <c r="P50"/>
      <c r="Q50"/>
    </row>
    <row r="51" spans="1:17">
      <c r="A51" s="439">
        <v>60</v>
      </c>
      <c r="B51" s="2" t="s">
        <v>452</v>
      </c>
      <c r="C51" s="273" t="s">
        <v>676</v>
      </c>
      <c r="D51" s="253">
        <v>20</v>
      </c>
      <c r="E51" s="49">
        <f t="shared" si="8"/>
        <v>12</v>
      </c>
      <c r="F51" s="68"/>
      <c r="G51" s="128"/>
      <c r="H51" s="55">
        <f t="shared" si="9"/>
        <v>51.179126944305068</v>
      </c>
      <c r="I51" s="2" t="str">
        <f t="shared" si="10"/>
        <v>poivron vert</v>
      </c>
      <c r="J51" s="49">
        <f t="shared" si="11"/>
        <v>10.235825388861013</v>
      </c>
      <c r="K51" s="154"/>
      <c r="O51" s="45"/>
      <c r="P51"/>
      <c r="Q51"/>
    </row>
    <row r="52" spans="1:17">
      <c r="A52" s="439">
        <v>100</v>
      </c>
      <c r="B52" s="2" t="s">
        <v>140</v>
      </c>
      <c r="C52" s="273" t="s">
        <v>676</v>
      </c>
      <c r="D52" s="253">
        <v>19</v>
      </c>
      <c r="E52" s="49">
        <f t="shared" si="8"/>
        <v>19</v>
      </c>
      <c r="F52" s="68"/>
      <c r="G52" s="128"/>
      <c r="H52" s="55">
        <f t="shared" si="9"/>
        <v>85.298544907175113</v>
      </c>
      <c r="I52" s="2" t="str">
        <f t="shared" si="10"/>
        <v>courgette</v>
      </c>
      <c r="J52" s="49">
        <f t="shared" si="11"/>
        <v>16.20672353236327</v>
      </c>
      <c r="K52" s="154"/>
      <c r="O52" s="45"/>
      <c r="P52"/>
      <c r="Q52"/>
    </row>
    <row r="53" spans="1:17">
      <c r="A53" s="439">
        <v>75</v>
      </c>
      <c r="B53" s="2" t="s">
        <v>703</v>
      </c>
      <c r="C53" s="196" t="s">
        <v>673</v>
      </c>
      <c r="D53" s="253">
        <v>367</v>
      </c>
      <c r="E53" s="49">
        <f t="shared" si="8"/>
        <v>275.25</v>
      </c>
      <c r="F53" s="68"/>
      <c r="G53" s="128"/>
      <c r="H53" s="55">
        <f t="shared" si="9"/>
        <v>63.973908680381342</v>
      </c>
      <c r="I53" s="2" t="str">
        <f t="shared" si="10"/>
        <v>flocons d'avoine</v>
      </c>
      <c r="J53" s="49">
        <f t="shared" si="11"/>
        <v>234.78424485699949</v>
      </c>
      <c r="K53" s="154"/>
      <c r="O53" s="45"/>
      <c r="P53"/>
      <c r="Q53"/>
    </row>
    <row r="54" spans="1:17">
      <c r="A54" s="439">
        <v>30</v>
      </c>
      <c r="B54" s="2" t="s">
        <v>704</v>
      </c>
      <c r="C54" s="273" t="s">
        <v>676</v>
      </c>
      <c r="D54" s="253">
        <v>146</v>
      </c>
      <c r="E54" s="49">
        <f t="shared" si="8"/>
        <v>43.8</v>
      </c>
      <c r="F54" s="68"/>
      <c r="G54" s="128"/>
      <c r="H54" s="55">
        <f t="shared" si="9"/>
        <v>25.589563472152534</v>
      </c>
      <c r="I54" s="2" t="str">
        <f t="shared" si="10"/>
        <v>oeuf</v>
      </c>
      <c r="J54" s="49">
        <f t="shared" si="11"/>
        <v>37.360762669342698</v>
      </c>
      <c r="K54" s="154"/>
      <c r="L54" s="154"/>
      <c r="O54" s="45"/>
      <c r="P54"/>
      <c r="Q54"/>
    </row>
    <row r="55" spans="1:17">
      <c r="A55" s="439">
        <v>2</v>
      </c>
      <c r="B55" s="2" t="s">
        <v>166</v>
      </c>
      <c r="C55" s="196" t="s">
        <v>673</v>
      </c>
      <c r="D55" s="253">
        <v>319</v>
      </c>
      <c r="E55" s="49">
        <f t="shared" si="8"/>
        <v>6.38</v>
      </c>
      <c r="F55" s="68"/>
      <c r="G55" s="128"/>
      <c r="H55" s="55">
        <f t="shared" si="9"/>
        <v>1.7059708981435024</v>
      </c>
      <c r="I55" s="2" t="str">
        <f t="shared" si="10"/>
        <v>paprika</v>
      </c>
      <c r="J55" s="49">
        <f t="shared" si="11"/>
        <v>5.4420471650777724</v>
      </c>
      <c r="K55" s="154"/>
      <c r="L55" s="154"/>
      <c r="O55" s="45"/>
      <c r="P55"/>
      <c r="Q55"/>
    </row>
    <row r="56" spans="1:17">
      <c r="A56" s="439">
        <v>1</v>
      </c>
      <c r="B56" s="298" t="s">
        <v>705</v>
      </c>
      <c r="C56" s="199" t="s">
        <v>675</v>
      </c>
      <c r="D56" s="253">
        <v>344</v>
      </c>
      <c r="E56" s="49">
        <f t="shared" si="8"/>
        <v>3.44</v>
      </c>
      <c r="F56" s="68"/>
      <c r="G56" s="128"/>
      <c r="H56" s="55">
        <f t="shared" si="9"/>
        <v>0.85298544907175122</v>
      </c>
      <c r="I56" s="2" t="str">
        <f t="shared" si="10"/>
        <v>ail en poudre</v>
      </c>
      <c r="J56" s="49">
        <f t="shared" si="11"/>
        <v>2.9342699448068239</v>
      </c>
      <c r="K56" s="154"/>
      <c r="O56" s="45"/>
      <c r="P56"/>
      <c r="Q56"/>
    </row>
    <row r="57" spans="1:17">
      <c r="A57" s="439">
        <v>1</v>
      </c>
      <c r="B57" s="2" t="s">
        <v>706</v>
      </c>
      <c r="C57" s="199" t="s">
        <v>675</v>
      </c>
      <c r="D57" s="253">
        <v>291</v>
      </c>
      <c r="E57" s="49">
        <f t="shared" si="8"/>
        <v>2.91</v>
      </c>
      <c r="F57" s="68"/>
      <c r="G57" s="128"/>
      <c r="H57" s="55">
        <f t="shared" si="9"/>
        <v>0.85298544907175122</v>
      </c>
      <c r="I57" s="2" t="str">
        <f t="shared" si="10"/>
        <v>curcuma</v>
      </c>
      <c r="J57" s="49">
        <f t="shared" si="11"/>
        <v>2.4821876567987959</v>
      </c>
      <c r="K57" s="154"/>
      <c r="O57" s="45"/>
      <c r="P57"/>
      <c r="Q57"/>
    </row>
    <row r="58" spans="1:17">
      <c r="A58" s="439">
        <v>1</v>
      </c>
      <c r="B58" s="2" t="s">
        <v>707</v>
      </c>
      <c r="C58" s="196" t="s">
        <v>673</v>
      </c>
      <c r="D58" s="253">
        <v>376</v>
      </c>
      <c r="E58" s="49">
        <f t="shared" si="8"/>
        <v>3.76</v>
      </c>
      <c r="F58" s="68"/>
      <c r="G58" s="128"/>
      <c r="H58" s="55">
        <f t="shared" si="9"/>
        <v>0.852985449071751</v>
      </c>
      <c r="I58" s="2" t="str">
        <f t="shared" si="10"/>
        <v>piment doux</v>
      </c>
      <c r="J58" s="49">
        <f t="shared" si="11"/>
        <v>3.2072252885097838</v>
      </c>
      <c r="K58" s="154"/>
      <c r="O58" s="45"/>
      <c r="P58"/>
      <c r="Q58"/>
    </row>
    <row r="59" spans="1:17">
      <c r="A59" s="439">
        <v>12</v>
      </c>
      <c r="B59" s="2" t="s">
        <v>307</v>
      </c>
      <c r="C59" s="197" t="s">
        <v>674</v>
      </c>
      <c r="D59" s="253">
        <v>370</v>
      </c>
      <c r="E59" s="49">
        <f t="shared" si="8"/>
        <v>44.400000000000006</v>
      </c>
      <c r="F59" s="68"/>
      <c r="G59" s="128"/>
      <c r="H59" s="55">
        <f t="shared" si="9"/>
        <v>10.235825388861013</v>
      </c>
      <c r="I59" s="2" t="str">
        <f t="shared" si="10"/>
        <v>chapelure de pain</v>
      </c>
      <c r="J59" s="49">
        <f t="shared" si="11"/>
        <v>37.872553938785757</v>
      </c>
      <c r="K59" s="154"/>
      <c r="O59" s="45"/>
      <c r="P59"/>
      <c r="Q59"/>
    </row>
    <row r="60" spans="1:17">
      <c r="A60" s="439">
        <v>6</v>
      </c>
      <c r="B60" s="2" t="s">
        <v>108</v>
      </c>
      <c r="C60" s="197" t="s">
        <v>674</v>
      </c>
      <c r="D60" s="253">
        <v>899</v>
      </c>
      <c r="E60" s="49">
        <f t="shared" si="8"/>
        <v>53.94</v>
      </c>
      <c r="F60" s="68"/>
      <c r="G60" s="128"/>
      <c r="H60" s="55">
        <f t="shared" si="9"/>
        <v>5.1179126944305073</v>
      </c>
      <c r="I60" s="2" t="str">
        <f t="shared" si="10"/>
        <v>huile d'olive</v>
      </c>
      <c r="J60" s="49">
        <f t="shared" si="11"/>
        <v>46.010035122930255</v>
      </c>
      <c r="K60" s="154"/>
      <c r="O60" s="45"/>
      <c r="P60"/>
      <c r="Q60"/>
    </row>
    <row r="61" spans="1:17">
      <c r="A61" s="439">
        <v>25</v>
      </c>
      <c r="B61" s="2" t="s">
        <v>708</v>
      </c>
      <c r="C61" s="273" t="s">
        <v>676</v>
      </c>
      <c r="D61" s="253">
        <v>28</v>
      </c>
      <c r="E61" s="49">
        <f t="shared" si="8"/>
        <v>7.0000000000000009</v>
      </c>
      <c r="F61" s="68"/>
      <c r="G61" s="128"/>
      <c r="H61" s="55">
        <f t="shared" si="9"/>
        <v>21.324636226793778</v>
      </c>
      <c r="I61" s="2" t="str">
        <f t="shared" si="10"/>
        <v>roquette (</v>
      </c>
      <c r="J61" s="49">
        <f t="shared" si="11"/>
        <v>5.9708981435022581</v>
      </c>
      <c r="K61" s="154"/>
      <c r="O61" s="45"/>
      <c r="P61"/>
      <c r="Q61"/>
    </row>
    <row r="62" spans="1:17">
      <c r="A62" s="439">
        <v>25</v>
      </c>
      <c r="B62" s="251" t="s">
        <v>709</v>
      </c>
      <c r="C62" s="273" t="s">
        <v>676</v>
      </c>
      <c r="D62" s="253">
        <v>18</v>
      </c>
      <c r="E62" s="49">
        <f t="shared" si="8"/>
        <v>4.5</v>
      </c>
      <c r="F62" s="68"/>
      <c r="G62" s="128"/>
      <c r="H62" s="55">
        <f t="shared" si="9"/>
        <v>21.324636226793775</v>
      </c>
      <c r="I62" s="2" t="str">
        <f t="shared" si="10"/>
        <v>mesclun (</v>
      </c>
      <c r="J62" s="49">
        <f t="shared" si="11"/>
        <v>3.8384345208228798</v>
      </c>
      <c r="K62" s="154"/>
      <c r="O62" s="45"/>
      <c r="P62"/>
      <c r="Q62"/>
    </row>
    <row r="63" spans="1:17">
      <c r="A63" s="439">
        <v>50</v>
      </c>
      <c r="B63" s="251" t="s">
        <v>710</v>
      </c>
      <c r="C63" s="273" t="s">
        <v>676</v>
      </c>
      <c r="D63" s="253">
        <v>21</v>
      </c>
      <c r="E63" s="49">
        <f t="shared" si="8"/>
        <v>10.5</v>
      </c>
      <c r="F63" s="68"/>
      <c r="G63" s="128"/>
      <c r="H63" s="55">
        <f>IF(E63=0,A65,A65/E63*J63)</f>
        <v>3.8384345208228794</v>
      </c>
      <c r="I63" s="2" t="str">
        <f>B65</f>
        <v>sauce à salade italienne</v>
      </c>
      <c r="J63" s="49">
        <f t="shared" si="11"/>
        <v>8.9563472152533858</v>
      </c>
      <c r="K63" s="154"/>
      <c r="O63" s="45"/>
      <c r="P63"/>
      <c r="Q63"/>
    </row>
    <row r="64" spans="1:17">
      <c r="A64" s="439">
        <v>25</v>
      </c>
      <c r="B64" s="251" t="s">
        <v>270</v>
      </c>
      <c r="C64" s="249" t="s">
        <v>677</v>
      </c>
      <c r="D64" s="253">
        <v>262</v>
      </c>
      <c r="E64" s="49">
        <f t="shared" si="8"/>
        <v>65.5</v>
      </c>
      <c r="F64" s="68"/>
      <c r="G64" s="128"/>
      <c r="H64" s="55">
        <f t="shared" si="9"/>
        <v>21.324636226793778</v>
      </c>
      <c r="I64" s="2" t="str">
        <f t="shared" si="10"/>
        <v>feta</v>
      </c>
      <c r="J64" s="49">
        <f t="shared" si="11"/>
        <v>55.8705469141997</v>
      </c>
      <c r="K64" s="154"/>
      <c r="O64" s="45"/>
      <c r="P64"/>
      <c r="Q64"/>
    </row>
    <row r="65" spans="1:17">
      <c r="A65" s="439">
        <f>18/4</f>
        <v>4.5</v>
      </c>
      <c r="B65" s="251" t="s">
        <v>308</v>
      </c>
      <c r="C65" s="197" t="s">
        <v>674</v>
      </c>
      <c r="D65" s="253">
        <v>472</v>
      </c>
      <c r="E65" s="49">
        <f t="shared" si="8"/>
        <v>21.24</v>
      </c>
      <c r="F65" s="68"/>
      <c r="G65" s="128"/>
      <c r="H65" s="55">
        <f t="shared" ref="H65" si="12">IF(E65=0,A65,A65/E65*J65)</f>
        <v>3.8384345208228798</v>
      </c>
      <c r="I65" s="2" t="str">
        <f t="shared" ref="I65" si="13">B65</f>
        <v>sauce à salade italienne</v>
      </c>
      <c r="J65" s="49">
        <f t="shared" ref="J65" si="14">E65*$M$18%</f>
        <v>18.117410938283992</v>
      </c>
      <c r="K65" s="129"/>
      <c r="O65" s="45"/>
      <c r="P65"/>
      <c r="Q65"/>
    </row>
    <row r="66" spans="1:17">
      <c r="A66" s="439">
        <v>0.5</v>
      </c>
      <c r="B66" s="251" t="s">
        <v>109</v>
      </c>
      <c r="C66" s="197" t="s">
        <v>674</v>
      </c>
      <c r="D66" s="253">
        <v>0</v>
      </c>
      <c r="E66" s="49">
        <f t="shared" si="8"/>
        <v>0</v>
      </c>
      <c r="F66" s="68"/>
      <c r="G66" s="128"/>
      <c r="H66" s="55">
        <f t="shared" si="9"/>
        <v>0.5</v>
      </c>
      <c r="I66" s="2" t="str">
        <f>B66</f>
        <v>sel</v>
      </c>
      <c r="J66" s="49">
        <f>E66*$M$18%</f>
        <v>0</v>
      </c>
      <c r="K66" s="154"/>
      <c r="O66" s="45"/>
      <c r="P66"/>
      <c r="Q66"/>
    </row>
    <row r="67" spans="1:17">
      <c r="A67" s="439">
        <v>0.5</v>
      </c>
      <c r="B67" s="2" t="s">
        <v>116</v>
      </c>
      <c r="C67" s="199" t="s">
        <v>675</v>
      </c>
      <c r="D67" s="51">
        <v>222</v>
      </c>
      <c r="E67" s="49">
        <f t="shared" si="8"/>
        <v>1.1100000000000001</v>
      </c>
      <c r="F67" s="68"/>
      <c r="G67" s="128"/>
      <c r="H67" s="55">
        <f t="shared" si="9"/>
        <v>0.42649272453587556</v>
      </c>
      <c r="I67" s="2" t="str">
        <f>B67</f>
        <v>poivre</v>
      </c>
      <c r="J67" s="49">
        <f>E67*$M$18%</f>
        <v>0.94681384846964378</v>
      </c>
      <c r="K67" s="154"/>
      <c r="L67" s="154"/>
      <c r="O67" s="45"/>
      <c r="P67"/>
      <c r="Q67"/>
    </row>
    <row r="68" spans="1:17">
      <c r="A68" s="42"/>
      <c r="B68" s="131"/>
      <c r="C68" s="201"/>
      <c r="E68" s="130" t="s">
        <v>6</v>
      </c>
      <c r="F68" s="138">
        <f>SUM(E50:E67)</f>
        <v>578.23000000000013</v>
      </c>
      <c r="G68" s="140"/>
      <c r="H68" s="42"/>
      <c r="I68" s="131"/>
      <c r="J68" s="130" t="s">
        <v>6</v>
      </c>
      <c r="K68" s="138">
        <f>SUM(J50:J67)</f>
        <v>493.22177621675866</v>
      </c>
      <c r="L68" s="154"/>
      <c r="O68" s="45"/>
      <c r="Q68"/>
    </row>
    <row r="69" spans="1:17">
      <c r="A69" s="66" t="s">
        <v>309</v>
      </c>
      <c r="B69" s="257"/>
      <c r="C69" s="257"/>
      <c r="D69" s="257"/>
      <c r="E69" s="257"/>
      <c r="F69" s="259"/>
      <c r="G69" s="260"/>
      <c r="H69" s="257"/>
      <c r="I69" s="257"/>
      <c r="J69" s="258"/>
      <c r="K69" s="154"/>
      <c r="L69" s="154"/>
      <c r="O69" s="45"/>
      <c r="Q69"/>
    </row>
    <row r="70" spans="1:17">
      <c r="A70" s="439">
        <v>75</v>
      </c>
      <c r="B70" s="2" t="s">
        <v>711</v>
      </c>
      <c r="C70" s="199" t="s">
        <v>675</v>
      </c>
      <c r="D70" s="253">
        <v>55</v>
      </c>
      <c r="E70" s="49">
        <f t="shared" ref="E70:E76" si="15">D70/100*A70</f>
        <v>41.25</v>
      </c>
      <c r="F70" s="68"/>
      <c r="G70" s="128"/>
      <c r="H70" s="55">
        <f>IF(E70=0,A70,A70/E70*J70)</f>
        <v>63.973908680381335</v>
      </c>
      <c r="I70" s="2" t="str">
        <f>B70</f>
        <v> pommes</v>
      </c>
      <c r="J70" s="49">
        <f t="shared" si="11"/>
        <v>35.185649774209736</v>
      </c>
      <c r="K70" s="68"/>
      <c r="L70" s="154"/>
      <c r="O70" s="45"/>
      <c r="P70"/>
      <c r="Q70"/>
    </row>
    <row r="71" spans="1:17">
      <c r="A71" s="439">
        <v>6</v>
      </c>
      <c r="B71" s="2" t="s">
        <v>207</v>
      </c>
      <c r="C71" s="196" t="s">
        <v>673</v>
      </c>
      <c r="D71" s="253">
        <v>306</v>
      </c>
      <c r="E71" s="49">
        <f t="shared" si="15"/>
        <v>18.36</v>
      </c>
      <c r="F71" s="68"/>
      <c r="G71" s="128"/>
      <c r="H71" s="55">
        <f t="shared" ref="H71:H74" si="16">IF(E71=0,A71,A71/E71*J71)</f>
        <v>5.1179126944305064</v>
      </c>
      <c r="I71" s="2" t="str">
        <f t="shared" ref="I71:I74" si="17">B71</f>
        <v>miel</v>
      </c>
      <c r="J71" s="49">
        <f t="shared" si="11"/>
        <v>15.66081284495735</v>
      </c>
      <c r="K71" s="68"/>
      <c r="L71" s="154"/>
      <c r="O71" s="45"/>
      <c r="P71"/>
      <c r="Q71"/>
    </row>
    <row r="72" spans="1:17">
      <c r="A72" s="439">
        <v>2</v>
      </c>
      <c r="B72" s="2" t="s">
        <v>185</v>
      </c>
      <c r="C72" s="197" t="s">
        <v>674</v>
      </c>
      <c r="D72" s="253">
        <v>390</v>
      </c>
      <c r="E72" s="49">
        <f t="shared" si="15"/>
        <v>7.8</v>
      </c>
      <c r="F72" s="68"/>
      <c r="G72" s="128"/>
      <c r="H72" s="55">
        <f t="shared" si="16"/>
        <v>1.7059708981435024</v>
      </c>
      <c r="I72" s="2" t="str">
        <f t="shared" si="17"/>
        <v>sucre roux</v>
      </c>
      <c r="J72" s="49">
        <f t="shared" si="11"/>
        <v>6.6532865027596584</v>
      </c>
      <c r="K72" s="68"/>
      <c r="L72" s="154"/>
      <c r="O72" s="45"/>
      <c r="P72"/>
      <c r="Q72"/>
    </row>
    <row r="73" spans="1:17">
      <c r="A73" s="439">
        <v>6</v>
      </c>
      <c r="B73" s="2" t="s">
        <v>0</v>
      </c>
      <c r="C73" s="197" t="s">
        <v>674</v>
      </c>
      <c r="D73" s="253">
        <v>747</v>
      </c>
      <c r="E73" s="49">
        <f t="shared" si="15"/>
        <v>44.82</v>
      </c>
      <c r="F73" s="68"/>
      <c r="G73" s="128"/>
      <c r="H73" s="55">
        <f t="shared" si="16"/>
        <v>5.1179126944305064</v>
      </c>
      <c r="I73" s="2" t="str">
        <f t="shared" si="17"/>
        <v>beurre</v>
      </c>
      <c r="J73" s="49">
        <f t="shared" si="11"/>
        <v>38.230807827395886</v>
      </c>
      <c r="K73" s="68"/>
      <c r="L73" s="154"/>
      <c r="O73" s="45"/>
      <c r="P73"/>
      <c r="Q73"/>
    </row>
    <row r="74" spans="1:17">
      <c r="A74" s="439">
        <v>0.1</v>
      </c>
      <c r="B74" s="2" t="s">
        <v>712</v>
      </c>
      <c r="C74" s="199" t="s">
        <v>675</v>
      </c>
      <c r="D74" s="253">
        <v>243</v>
      </c>
      <c r="E74" s="49">
        <f t="shared" si="15"/>
        <v>0.24300000000000002</v>
      </c>
      <c r="F74" s="68"/>
      <c r="G74" s="128"/>
      <c r="H74" s="55">
        <f t="shared" si="16"/>
        <v>8.5298544907175117E-2</v>
      </c>
      <c r="I74" s="2" t="str">
        <f t="shared" si="17"/>
        <v xml:space="preserve"> cannelle</v>
      </c>
      <c r="J74" s="49">
        <f t="shared" si="11"/>
        <v>0.20727546412443554</v>
      </c>
      <c r="K74" s="68"/>
      <c r="O74" s="45"/>
      <c r="P74"/>
      <c r="Q74"/>
    </row>
    <row r="75" spans="1:17">
      <c r="A75" s="439">
        <f>250/4</f>
        <v>62.5</v>
      </c>
      <c r="B75" s="2" t="s">
        <v>206</v>
      </c>
      <c r="C75" s="196" t="s">
        <v>673</v>
      </c>
      <c r="D75" s="253">
        <v>127</v>
      </c>
      <c r="E75" s="49">
        <f t="shared" si="15"/>
        <v>79.375</v>
      </c>
      <c r="F75" s="68"/>
      <c r="G75" s="128"/>
      <c r="H75" s="55">
        <f>IF(E75=0,A75,A75/E75*J75)</f>
        <v>53.311590566984449</v>
      </c>
      <c r="I75" s="2" t="str">
        <f>B75</f>
        <v>yogourt grec</v>
      </c>
      <c r="J75" s="49">
        <f>E75*$M$18%</f>
        <v>67.705720020070245</v>
      </c>
      <c r="K75" s="68"/>
      <c r="O75" s="45"/>
      <c r="P75"/>
      <c r="Q75"/>
    </row>
    <row r="76" spans="1:17">
      <c r="A76" s="439">
        <v>25</v>
      </c>
      <c r="B76" s="2" t="s">
        <v>713</v>
      </c>
      <c r="C76" s="196" t="s">
        <v>673</v>
      </c>
      <c r="D76" s="253">
        <v>646</v>
      </c>
      <c r="E76" s="49">
        <f t="shared" si="15"/>
        <v>161.5</v>
      </c>
      <c r="F76" s="68"/>
      <c r="G76" s="128"/>
      <c r="H76" s="55">
        <f>IF(E76=0,A76,A76/E76*J76)</f>
        <v>21.324636226793782</v>
      </c>
      <c r="I76" s="2" t="str">
        <f>B76</f>
        <v>noisettes grillées</v>
      </c>
      <c r="J76" s="49">
        <f t="shared" si="11"/>
        <v>137.75715002508781</v>
      </c>
      <c r="K76" s="68"/>
      <c r="O76" s="45"/>
      <c r="P76"/>
      <c r="Q76"/>
    </row>
    <row r="77" spans="1:17">
      <c r="A77" s="42"/>
      <c r="B77" s="131"/>
      <c r="C77" s="201"/>
      <c r="E77" s="143" t="s">
        <v>6</v>
      </c>
      <c r="F77" s="274">
        <f>SUM(E70:E76)</f>
        <v>353.34799999999996</v>
      </c>
      <c r="G77" s="25"/>
      <c r="H77" s="42"/>
      <c r="I77" s="131"/>
      <c r="J77" s="143" t="s">
        <v>6</v>
      </c>
      <c r="K77" s="274">
        <f>SUM(J70:J76)</f>
        <v>301.40070245860511</v>
      </c>
      <c r="O77" s="45"/>
      <c r="Q77"/>
    </row>
    <row r="78" spans="1:17">
      <c r="A78" s="54">
        <f>IF(D5="non",0,IF(D5="1 verre",125,250))</f>
        <v>0</v>
      </c>
      <c r="B78" s="2" t="str">
        <f>IF(A78=0,"","vin")</f>
        <v/>
      </c>
      <c r="C78" s="203"/>
      <c r="D78" s="51">
        <v>80</v>
      </c>
      <c r="E78" s="49">
        <f>D78/100*A78</f>
        <v>0</v>
      </c>
      <c r="G78" s="142"/>
      <c r="H78" s="55">
        <f>IF(E78=0,A78,A78/E78*J78)</f>
        <v>0</v>
      </c>
      <c r="I78" s="2" t="str">
        <f>B78</f>
        <v/>
      </c>
      <c r="J78" s="49">
        <f t="shared" si="11"/>
        <v>0</v>
      </c>
      <c r="K78" s="136"/>
      <c r="O78" s="45"/>
      <c r="P78"/>
      <c r="Q78"/>
    </row>
    <row r="79" spans="1:17" ht="6" customHeight="1">
      <c r="A79" s="17"/>
      <c r="B79" s="17"/>
      <c r="C79" s="188"/>
      <c r="D79" s="68"/>
      <c r="E79" s="17"/>
      <c r="F79" s="18"/>
      <c r="G79" s="204"/>
      <c r="H79" s="17"/>
      <c r="I79" s="17"/>
      <c r="J79" s="17"/>
      <c r="K79" s="18"/>
      <c r="P79"/>
      <c r="Q79"/>
    </row>
    <row r="80" spans="1:17">
      <c r="A80" s="17"/>
      <c r="B80" s="17"/>
      <c r="C80" s="188"/>
      <c r="D80" s="69" t="s">
        <v>129</v>
      </c>
      <c r="F80" s="146">
        <f>SUM(F22:F77)</f>
        <v>1993.0230000000001</v>
      </c>
      <c r="G80" s="204"/>
      <c r="H80" s="17"/>
      <c r="I80" s="69" t="s">
        <v>129</v>
      </c>
      <c r="K80" s="146">
        <f>SUM(K22:K77)</f>
        <v>1700.0196186653286</v>
      </c>
      <c r="P80"/>
      <c r="Q80"/>
    </row>
    <row r="81" spans="1:17">
      <c r="A81" s="17"/>
      <c r="B81" s="17"/>
      <c r="C81" s="188"/>
      <c r="D81" s="18" t="s">
        <v>130</v>
      </c>
      <c r="E81" s="25"/>
      <c r="F81" s="144">
        <f>F80+E78</f>
        <v>1993.0230000000001</v>
      </c>
      <c r="G81" s="43"/>
      <c r="H81" s="42"/>
      <c r="I81" s="18" t="s">
        <v>130</v>
      </c>
      <c r="J81" s="25"/>
      <c r="K81" s="144">
        <f>K80+J78</f>
        <v>1700.0196186653286</v>
      </c>
      <c r="P81"/>
      <c r="Q81"/>
    </row>
    <row r="82" spans="1:17">
      <c r="A82" s="17"/>
      <c r="B82" s="16"/>
      <c r="C82" s="188"/>
      <c r="D82" s="17"/>
      <c r="E82" s="17"/>
      <c r="F82" s="205"/>
      <c r="G82" s="43"/>
      <c r="H82" s="17"/>
      <c r="I82" s="17"/>
      <c r="J82" s="17"/>
      <c r="K82" s="154"/>
      <c r="P82"/>
      <c r="Q82"/>
    </row>
    <row r="83" spans="1:17" ht="19">
      <c r="A83" s="118" t="s">
        <v>100</v>
      </c>
      <c r="B83" s="491" t="s">
        <v>99</v>
      </c>
      <c r="C83" s="491"/>
      <c r="D83" s="17"/>
      <c r="E83" s="17"/>
      <c r="F83" s="18"/>
      <c r="G83" s="18"/>
      <c r="H83" s="17"/>
      <c r="I83" s="17"/>
      <c r="J83" s="17"/>
      <c r="K83" s="154"/>
      <c r="P83"/>
      <c r="Q83"/>
    </row>
    <row r="84" spans="1:17" s="452" customFormat="1" ht="409" customHeight="1">
      <c r="A84" s="445"/>
      <c r="B84" s="446"/>
      <c r="C84" s="447"/>
      <c r="D84" s="445"/>
      <c r="E84" s="445"/>
      <c r="F84" s="448"/>
      <c r="G84" s="448"/>
      <c r="H84" s="445"/>
      <c r="I84" s="445"/>
      <c r="J84" s="445"/>
      <c r="K84" s="448"/>
      <c r="L84" s="449"/>
      <c r="M84" s="450"/>
      <c r="N84" s="451"/>
      <c r="O84" s="451"/>
    </row>
    <row r="85" spans="1:17">
      <c r="A85" s="17"/>
      <c r="B85" s="16"/>
      <c r="C85" s="188"/>
      <c r="D85" s="17"/>
      <c r="E85" s="17"/>
      <c r="F85" s="18"/>
      <c r="G85" s="18"/>
      <c r="H85" s="17"/>
      <c r="I85" s="17"/>
      <c r="J85" s="17"/>
      <c r="K85" s="154"/>
      <c r="P85"/>
      <c r="Q85"/>
    </row>
    <row r="86" spans="1:17">
      <c r="A86" s="17"/>
      <c r="B86" s="16"/>
      <c r="C86" s="188"/>
      <c r="D86" s="17"/>
      <c r="E86" s="17"/>
      <c r="F86" s="18"/>
      <c r="G86" s="18"/>
      <c r="H86" s="17"/>
      <c r="I86" s="17"/>
      <c r="J86" s="17"/>
      <c r="K86" s="154"/>
      <c r="P86"/>
      <c r="Q86"/>
    </row>
    <row r="87" spans="1:17">
      <c r="F87" s="18"/>
      <c r="G87" s="18"/>
      <c r="N87"/>
      <c r="O87"/>
      <c r="P87"/>
      <c r="Q87"/>
    </row>
    <row r="88" spans="1:17">
      <c r="F88" s="206"/>
      <c r="I88" s="400"/>
      <c r="N88"/>
      <c r="O88"/>
      <c r="P88"/>
      <c r="Q88"/>
    </row>
    <row r="89" spans="1:17">
      <c r="B89"/>
      <c r="C89"/>
      <c r="I89" s="400"/>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N100"/>
      <c r="O100"/>
      <c r="P100"/>
      <c r="Q100"/>
    </row>
    <row r="101" spans="2:17">
      <c r="B101"/>
      <c r="C101"/>
      <c r="N101"/>
      <c r="O101"/>
      <c r="P101"/>
      <c r="Q101"/>
    </row>
    <row r="102" spans="2:17">
      <c r="B102"/>
      <c r="C102"/>
      <c r="N102"/>
      <c r="O102"/>
      <c r="P102"/>
      <c r="Q102"/>
    </row>
    <row r="103" spans="2:17">
      <c r="B103"/>
      <c r="C103"/>
      <c r="F103"/>
      <c r="G103"/>
      <c r="K103"/>
      <c r="N103"/>
      <c r="O103"/>
      <c r="P103"/>
      <c r="Q103"/>
    </row>
    <row r="104" spans="2:17">
      <c r="B104"/>
      <c r="C104"/>
      <c r="F104"/>
      <c r="G104"/>
      <c r="K104"/>
      <c r="N104"/>
      <c r="O104"/>
      <c r="P104"/>
      <c r="Q104"/>
    </row>
    <row r="105" spans="2:17">
      <c r="B105"/>
      <c r="C105"/>
      <c r="F105"/>
      <c r="G105"/>
      <c r="K105"/>
      <c r="N105"/>
      <c r="O105"/>
      <c r="P105"/>
      <c r="Q105"/>
    </row>
    <row r="106" spans="2:17">
      <c r="B106"/>
      <c r="C106"/>
      <c r="F106"/>
      <c r="G106"/>
      <c r="K106"/>
      <c r="N106"/>
      <c r="O106"/>
      <c r="P106"/>
      <c r="Q106"/>
    </row>
    <row r="107" spans="2:17">
      <c r="B107"/>
      <c r="C107"/>
      <c r="F107"/>
      <c r="G107"/>
      <c r="K107"/>
      <c r="N107"/>
      <c r="O107"/>
      <c r="P107"/>
      <c r="Q107"/>
    </row>
  </sheetData>
  <sheetProtection password="A5F4" sheet="1" objects="1" scenarios="1"/>
  <mergeCells count="8">
    <mergeCell ref="B83:C83"/>
    <mergeCell ref="D8:J8"/>
    <mergeCell ref="B15:J15"/>
    <mergeCell ref="A18:A19"/>
    <mergeCell ref="B18:B19"/>
    <mergeCell ref="D18:E18"/>
    <mergeCell ref="H18:H19"/>
    <mergeCell ref="I18:I19"/>
  </mergeCells>
  <dataValidations xWindow="658" yWindow="248" count="3">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Objectif du jour" prompt="Entrez ici l'apport calorique souhaité._x000d_Arrondissez à la centaine inférieure ou supérieure l'estimation obtenue avec le calculateur du feuillet &quot;bilan&quot;._x000d_Cet objectif est ensuite figé pour la totalité de l'exercice (14 jours)." sqref="D7"/>
    <dataValidation allowBlank="1" showErrorMessage="1" promptTitle="Modification des quantités" prompt="Vous pouvez diminuer ou augmenter la quantité,._x000d_Si vous désirez supprimer l'aliment, inscrivez 0 (zéro)." sqref="A1:A1048576"/>
  </dataValidations>
  <hyperlinks>
    <hyperlink ref="B83" location="sommaire!A1" display="RETOUR AU SOMMAIRE"/>
    <hyperlink ref="C83" location="sommaire!A1" display="sommaire!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xWindow="658" yWindow="248"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5"/>
  <sheetViews>
    <sheetView workbookViewId="0">
      <selection activeCell="D5" sqref="D5"/>
    </sheetView>
  </sheetViews>
  <sheetFormatPr baseColWidth="10" defaultRowHeight="15" x14ac:dyDescent="0"/>
  <cols>
    <col min="1" max="1" width="6.33203125" customWidth="1"/>
    <col min="2" max="2" width="32.6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6" width="10.83203125" style="44"/>
  </cols>
  <sheetData>
    <row r="1" spans="1:16" ht="19">
      <c r="A1" s="207" t="s">
        <v>701</v>
      </c>
      <c r="B1" s="120"/>
      <c r="C1" s="187"/>
      <c r="D1" s="121"/>
      <c r="E1" s="121"/>
      <c r="F1" s="122"/>
      <c r="G1" s="122"/>
      <c r="H1" s="122"/>
      <c r="I1" s="123" t="s">
        <v>101</v>
      </c>
      <c r="J1" s="266" t="s">
        <v>676</v>
      </c>
      <c r="N1"/>
      <c r="O1"/>
      <c r="P1"/>
    </row>
    <row r="2" spans="1:16">
      <c r="A2" s="17"/>
      <c r="B2" s="16" t="s">
        <v>12</v>
      </c>
      <c r="C2" s="188"/>
      <c r="D2" s="17"/>
      <c r="E2" s="17"/>
      <c r="F2" s="18"/>
      <c r="G2" s="18"/>
      <c r="H2" s="17"/>
      <c r="I2" s="17"/>
      <c r="J2" s="17"/>
      <c r="N2"/>
      <c r="O2"/>
      <c r="P2"/>
    </row>
    <row r="3" spans="1:16">
      <c r="A3" s="16" t="s">
        <v>19</v>
      </c>
      <c r="B3" s="16"/>
      <c r="C3" s="188"/>
      <c r="D3" s="15">
        <f>ROUND(F78,0)</f>
        <v>1998</v>
      </c>
      <c r="E3" s="17" t="s">
        <v>9</v>
      </c>
      <c r="F3" s="18"/>
      <c r="G3" s="18"/>
      <c r="H3" s="42"/>
      <c r="I3" s="42"/>
      <c r="J3" s="42"/>
      <c r="N3"/>
      <c r="O3"/>
      <c r="P3"/>
    </row>
    <row r="4" spans="1:16" ht="12" customHeight="1">
      <c r="A4" s="24" t="s">
        <v>26</v>
      </c>
      <c r="B4" s="16"/>
      <c r="C4" s="188"/>
      <c r="D4" s="19"/>
      <c r="E4" s="17"/>
      <c r="F4" s="18"/>
      <c r="G4" s="18"/>
      <c r="H4" s="17"/>
      <c r="I4" s="17"/>
      <c r="J4" s="17"/>
      <c r="N4"/>
      <c r="O4"/>
      <c r="P4"/>
    </row>
    <row r="5" spans="1:16">
      <c r="A5" s="16" t="s">
        <v>29</v>
      </c>
      <c r="B5" s="16"/>
      <c r="C5" s="189" t="s">
        <v>25</v>
      </c>
      <c r="D5" s="436" t="s">
        <v>10</v>
      </c>
      <c r="E5" s="17" t="str">
        <f>IF(D5="non","",IF(D5=1,d!B22,d!B23))</f>
        <v/>
      </c>
      <c r="F5" s="18"/>
      <c r="G5" s="18"/>
      <c r="H5" s="17"/>
      <c r="I5" s="17"/>
      <c r="J5" s="17"/>
      <c r="N5"/>
      <c r="O5"/>
      <c r="P5"/>
    </row>
    <row r="6" spans="1:16">
      <c r="A6" s="16" t="s">
        <v>18</v>
      </c>
      <c r="B6" s="16"/>
      <c r="C6" s="188"/>
      <c r="D6" s="437">
        <v>0</v>
      </c>
      <c r="E6" s="17" t="s">
        <v>9</v>
      </c>
      <c r="F6" s="98"/>
      <c r="G6" s="414" t="s">
        <v>100</v>
      </c>
      <c r="H6" s="415" t="s">
        <v>33</v>
      </c>
      <c r="I6" s="17"/>
      <c r="J6" s="17"/>
      <c r="N6"/>
      <c r="O6"/>
      <c r="P6"/>
    </row>
    <row r="7" spans="1:16">
      <c r="A7" s="21" t="s">
        <v>35</v>
      </c>
      <c r="B7" s="16"/>
      <c r="C7" s="189"/>
      <c r="D7" s="15">
        <f>jour_1!D7</f>
        <v>1700</v>
      </c>
      <c r="E7" s="17" t="s">
        <v>9</v>
      </c>
      <c r="F7" s="18"/>
      <c r="G7" s="416"/>
      <c r="H7" s="417" t="s">
        <v>816</v>
      </c>
      <c r="I7" s="17"/>
      <c r="J7" s="17"/>
      <c r="N7"/>
      <c r="O7"/>
      <c r="P7"/>
    </row>
    <row r="8" spans="1:16" ht="45" customHeight="1">
      <c r="A8" s="17"/>
      <c r="B8" s="16"/>
      <c r="C8" s="188"/>
      <c r="D8" s="480" t="str">
        <f>IF(D5="non","",d!A24)</f>
        <v/>
      </c>
      <c r="E8" s="480"/>
      <c r="F8" s="480"/>
      <c r="G8" s="480"/>
      <c r="H8" s="480"/>
      <c r="I8" s="480"/>
      <c r="J8" s="480"/>
      <c r="K8" s="334"/>
      <c r="L8" s="243"/>
      <c r="N8"/>
      <c r="O8"/>
      <c r="P8"/>
    </row>
    <row r="9" spans="1:16" ht="6" customHeight="1">
      <c r="A9" s="17"/>
      <c r="B9" s="16"/>
      <c r="C9" s="188"/>
      <c r="D9" s="18"/>
      <c r="E9" s="17"/>
      <c r="F9" s="18"/>
      <c r="G9" s="18"/>
      <c r="H9" s="17"/>
      <c r="I9" s="17"/>
      <c r="J9" s="17"/>
      <c r="N9"/>
      <c r="O9"/>
      <c r="P9"/>
    </row>
    <row r="10" spans="1:16">
      <c r="A10" s="17"/>
      <c r="B10" s="26" t="s">
        <v>14</v>
      </c>
      <c r="C10" s="190"/>
      <c r="D10" s="28"/>
      <c r="E10" s="28"/>
      <c r="F10" s="133"/>
      <c r="G10" s="133"/>
      <c r="H10" s="28"/>
      <c r="I10" s="28"/>
      <c r="J10" s="29"/>
      <c r="N10"/>
      <c r="O10"/>
      <c r="P10"/>
    </row>
    <row r="11" spans="1:16">
      <c r="A11" s="17"/>
      <c r="B11" s="30" t="s">
        <v>15</v>
      </c>
      <c r="C11" s="191"/>
      <c r="D11" s="15">
        <f>D7+D6</f>
        <v>1700</v>
      </c>
      <c r="E11" s="32" t="s">
        <v>7</v>
      </c>
      <c r="F11" s="31"/>
      <c r="G11" s="31"/>
      <c r="H11" s="33"/>
      <c r="I11" s="33"/>
      <c r="J11" s="34"/>
      <c r="N11"/>
      <c r="O11"/>
      <c r="P11"/>
    </row>
    <row r="12" spans="1:16">
      <c r="A12" s="17"/>
      <c r="B12" s="30" t="s">
        <v>16</v>
      </c>
      <c r="C12" s="191"/>
      <c r="D12" s="23">
        <f>ABS(M13)</f>
        <v>298</v>
      </c>
      <c r="E12" s="32" t="s">
        <v>7</v>
      </c>
      <c r="F12" s="32" t="str">
        <f>IF(M13&gt;0,d!A44,d!A45)</f>
        <v>de moins que les menus Pan Metron du jour</v>
      </c>
      <c r="G12" s="31"/>
      <c r="H12" s="33"/>
      <c r="I12" s="33"/>
      <c r="J12" s="34"/>
      <c r="N12"/>
      <c r="O12"/>
      <c r="P12"/>
    </row>
    <row r="13" spans="1:16" ht="13" customHeight="1">
      <c r="A13" s="24"/>
      <c r="B13" s="35"/>
      <c r="C13" s="192"/>
      <c r="D13" s="37"/>
      <c r="E13" s="1"/>
      <c r="F13" s="38" t="str">
        <f>IF(D5="non","",d!A46)</f>
        <v/>
      </c>
      <c r="G13" s="39"/>
      <c r="H13" s="38"/>
      <c r="I13" s="38"/>
      <c r="J13" s="40"/>
      <c r="M13" s="408">
        <f>D3+E76-D11</f>
        <v>298</v>
      </c>
      <c r="N13"/>
      <c r="O13"/>
      <c r="P13"/>
    </row>
    <row r="14" spans="1:16" ht="8" customHeight="1">
      <c r="A14" s="24"/>
      <c r="B14" s="41"/>
      <c r="C14" s="193"/>
      <c r="D14" s="19"/>
      <c r="E14" s="42"/>
      <c r="F14" s="43"/>
      <c r="G14" s="43"/>
      <c r="H14" s="42"/>
      <c r="I14" s="42"/>
      <c r="J14" s="42"/>
      <c r="N14"/>
      <c r="O14"/>
      <c r="P14"/>
    </row>
    <row r="15" spans="1:16"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row>
    <row r="16" spans="1:16" ht="12" customHeight="1">
      <c r="A16" s="17"/>
      <c r="B16" s="22"/>
      <c r="C16" s="194"/>
      <c r="D16" s="22"/>
      <c r="E16" s="22"/>
      <c r="F16" s="134"/>
      <c r="G16" s="134"/>
      <c r="H16" s="22"/>
      <c r="I16" s="22"/>
      <c r="J16" s="22"/>
      <c r="K16" s="22"/>
      <c r="L16" s="244"/>
      <c r="N16"/>
      <c r="O16"/>
      <c r="P16"/>
    </row>
    <row r="17" spans="1:16" ht="17" customHeight="1">
      <c r="A17" s="60" t="s">
        <v>24</v>
      </c>
      <c r="B17" s="61"/>
      <c r="C17" s="195"/>
      <c r="D17" s="61"/>
      <c r="E17" s="62"/>
      <c r="F17" s="134"/>
      <c r="G17" s="141"/>
      <c r="H17" s="57" t="s">
        <v>36</v>
      </c>
      <c r="I17" s="58"/>
      <c r="J17" s="59"/>
      <c r="K17" s="22"/>
      <c r="L17" s="244"/>
      <c r="M17" s="269" t="s">
        <v>133</v>
      </c>
      <c r="N17" s="148"/>
      <c r="P17"/>
    </row>
    <row r="18" spans="1:16">
      <c r="A18" s="485" t="s">
        <v>11</v>
      </c>
      <c r="B18" s="483" t="s">
        <v>227</v>
      </c>
      <c r="C18" s="322"/>
      <c r="D18" s="481" t="s">
        <v>7</v>
      </c>
      <c r="E18" s="482"/>
      <c r="F18" s="18"/>
      <c r="G18" s="43"/>
      <c r="H18" s="487" t="str">
        <f>A18</f>
        <v>g/cl</v>
      </c>
      <c r="I18" s="489" t="str">
        <f>B18</f>
        <v>Ingrédients</v>
      </c>
      <c r="J18" s="70" t="s">
        <v>7</v>
      </c>
      <c r="M18" s="411">
        <f>100-(D12/((D11+D12)/100))</f>
        <v>85.085085085085083</v>
      </c>
      <c r="P18"/>
    </row>
    <row r="19" spans="1:16" ht="12" customHeight="1">
      <c r="A19" s="486"/>
      <c r="B19" s="484"/>
      <c r="C19" s="73"/>
      <c r="D19" s="72" t="s">
        <v>22</v>
      </c>
      <c r="E19" s="73" t="s">
        <v>23</v>
      </c>
      <c r="F19" s="18"/>
      <c r="G19" s="43"/>
      <c r="H19" s="488"/>
      <c r="I19" s="490"/>
      <c r="J19" s="71" t="s">
        <v>23</v>
      </c>
      <c r="M19" s="269"/>
      <c r="P19"/>
    </row>
    <row r="20" spans="1:16" ht="8" customHeight="1">
      <c r="A20" s="17"/>
      <c r="B20" s="16"/>
      <c r="C20" s="209"/>
      <c r="D20" s="17"/>
      <c r="E20" s="17"/>
      <c r="F20" s="18"/>
      <c r="G20" s="43"/>
      <c r="H20" s="17"/>
      <c r="I20" s="17"/>
      <c r="J20" s="17"/>
      <c r="L20" s="154"/>
      <c r="O20"/>
      <c r="P20"/>
    </row>
    <row r="21" spans="1:16">
      <c r="A21" s="283" t="s">
        <v>244</v>
      </c>
      <c r="B21" s="16"/>
      <c r="C21" s="209"/>
      <c r="D21" s="17"/>
      <c r="E21" s="17"/>
      <c r="F21" s="18"/>
      <c r="G21" s="43"/>
      <c r="H21" s="17"/>
      <c r="I21" s="17"/>
      <c r="J21" s="17"/>
      <c r="L21" s="154"/>
      <c r="O21"/>
      <c r="P21"/>
    </row>
    <row r="22" spans="1:16">
      <c r="A22" s="438">
        <v>50</v>
      </c>
      <c r="B22" s="107" t="s">
        <v>160</v>
      </c>
      <c r="C22" s="196" t="s">
        <v>673</v>
      </c>
      <c r="D22" s="164">
        <v>382</v>
      </c>
      <c r="E22" s="49">
        <f t="shared" ref="E22:E27" si="0">D22/100*A22</f>
        <v>191</v>
      </c>
      <c r="F22" s="18"/>
      <c r="G22" s="43"/>
      <c r="H22" s="55">
        <f t="shared" ref="H22:H27" si="1">IF(E22=0,A22,A22/E22*J22)</f>
        <v>42.542542542542549</v>
      </c>
      <c r="I22" s="2" t="str">
        <f t="shared" ref="I22:I27" si="2">B22</f>
        <v>céréales au miel</v>
      </c>
      <c r="J22" s="49">
        <f>E22*$M$18%</f>
        <v>162.51251251251253</v>
      </c>
      <c r="M22" s="411"/>
      <c r="P22"/>
    </row>
    <row r="23" spans="1:16">
      <c r="A23" s="438">
        <v>150</v>
      </c>
      <c r="B23" s="2" t="s">
        <v>1</v>
      </c>
      <c r="C23" s="218"/>
      <c r="D23" s="51">
        <v>0</v>
      </c>
      <c r="E23" s="49">
        <f t="shared" si="0"/>
        <v>0</v>
      </c>
      <c r="F23" s="18"/>
      <c r="G23" s="43"/>
      <c r="H23" s="55">
        <f t="shared" si="1"/>
        <v>150</v>
      </c>
      <c r="I23" s="2" t="str">
        <f t="shared" si="2"/>
        <v>café</v>
      </c>
      <c r="J23" s="49">
        <f t="shared" ref="J23:J27" si="3">E23*$M$18%</f>
        <v>0</v>
      </c>
      <c r="P23"/>
    </row>
    <row r="24" spans="1:16">
      <c r="A24" s="438">
        <v>4</v>
      </c>
      <c r="B24" s="2" t="s">
        <v>2</v>
      </c>
      <c r="C24" s="186" t="s">
        <v>674</v>
      </c>
      <c r="D24" s="51">
        <v>400</v>
      </c>
      <c r="E24" s="49">
        <f t="shared" si="0"/>
        <v>16</v>
      </c>
      <c r="F24" s="18"/>
      <c r="G24" s="43"/>
      <c r="H24" s="55">
        <f t="shared" si="1"/>
        <v>3.4034034034034035</v>
      </c>
      <c r="I24" s="2" t="str">
        <f t="shared" si="2"/>
        <v>sucre</v>
      </c>
      <c r="J24" s="49">
        <f t="shared" si="3"/>
        <v>13.613613613613614</v>
      </c>
      <c r="N24" s="45"/>
      <c r="P24"/>
    </row>
    <row r="25" spans="1:16">
      <c r="A25" s="438">
        <v>12</v>
      </c>
      <c r="B25" s="2" t="s">
        <v>5</v>
      </c>
      <c r="C25" s="196" t="s">
        <v>673</v>
      </c>
      <c r="D25" s="51">
        <v>161</v>
      </c>
      <c r="E25" s="49">
        <f t="shared" si="0"/>
        <v>19.32</v>
      </c>
      <c r="F25" s="18"/>
      <c r="G25" s="43"/>
      <c r="H25" s="55">
        <f t="shared" si="1"/>
        <v>10.21021021021021</v>
      </c>
      <c r="I25" s="2" t="str">
        <f t="shared" si="2"/>
        <v>crème à café</v>
      </c>
      <c r="J25" s="49">
        <f t="shared" si="3"/>
        <v>16.438438438438439</v>
      </c>
      <c r="N25" s="45"/>
      <c r="P25"/>
    </row>
    <row r="26" spans="1:16">
      <c r="A26" s="438">
        <v>125</v>
      </c>
      <c r="B26" s="2" t="s">
        <v>123</v>
      </c>
      <c r="C26" s="183" t="s">
        <v>675</v>
      </c>
      <c r="D26" s="51">
        <v>87</v>
      </c>
      <c r="E26" s="49">
        <f t="shared" si="0"/>
        <v>108.75</v>
      </c>
      <c r="F26" s="18"/>
      <c r="G26" s="43"/>
      <c r="H26" s="55">
        <f t="shared" si="1"/>
        <v>106.35635635635636</v>
      </c>
      <c r="I26" s="2" t="str">
        <f t="shared" si="2"/>
        <v>yogourt aux fruits</v>
      </c>
      <c r="J26" s="49">
        <f t="shared" si="3"/>
        <v>92.530030030030034</v>
      </c>
      <c r="N26" s="45"/>
      <c r="P26"/>
    </row>
    <row r="27" spans="1:16">
      <c r="A27" s="438">
        <v>150</v>
      </c>
      <c r="B27" s="2" t="s">
        <v>103</v>
      </c>
      <c r="C27" s="183" t="s">
        <v>675</v>
      </c>
      <c r="D27" s="51">
        <v>45</v>
      </c>
      <c r="E27" s="49">
        <f t="shared" si="0"/>
        <v>67.5</v>
      </c>
      <c r="F27" s="18"/>
      <c r="G27" s="43"/>
      <c r="H27" s="55">
        <f t="shared" si="1"/>
        <v>127.62762762762765</v>
      </c>
      <c r="I27" s="2" t="str">
        <f t="shared" si="2"/>
        <v>jus d'orange maison</v>
      </c>
      <c r="J27" s="49">
        <f t="shared" si="3"/>
        <v>57.432432432432435</v>
      </c>
      <c r="N27" s="45"/>
      <c r="P27"/>
    </row>
    <row r="28" spans="1:16">
      <c r="A28" s="42"/>
      <c r="B28" s="131"/>
      <c r="C28" s="200"/>
      <c r="E28" s="130" t="s">
        <v>6</v>
      </c>
      <c r="F28" s="135">
        <f>SUM(E22:E27)</f>
        <v>402.57</v>
      </c>
      <c r="G28" s="128"/>
      <c r="H28" s="42"/>
      <c r="I28" s="131"/>
      <c r="J28" s="130" t="s">
        <v>6</v>
      </c>
      <c r="K28" s="336">
        <f>SUM(J22:J27)</f>
        <v>342.52702702702709</v>
      </c>
      <c r="N28" s="45"/>
      <c r="P28"/>
    </row>
    <row r="29" spans="1:16">
      <c r="A29" s="216" t="s">
        <v>225</v>
      </c>
      <c r="B29" s="16"/>
      <c r="C29" s="209"/>
      <c r="D29" s="17"/>
      <c r="E29" s="17"/>
      <c r="F29" s="18"/>
      <c r="G29" s="43"/>
      <c r="H29" s="17"/>
      <c r="I29" s="17"/>
      <c r="J29" s="17"/>
      <c r="O29"/>
      <c r="P29"/>
    </row>
    <row r="30" spans="1:16">
      <c r="A30" s="66" t="s">
        <v>312</v>
      </c>
      <c r="B30" s="257"/>
      <c r="C30" s="323"/>
      <c r="D30" s="257"/>
      <c r="E30" s="257"/>
      <c r="F30" s="257"/>
      <c r="G30" s="257"/>
      <c r="H30" s="257"/>
      <c r="I30" s="257"/>
      <c r="J30" s="258"/>
      <c r="L30" s="154"/>
      <c r="N30" s="45"/>
      <c r="P30"/>
    </row>
    <row r="31" spans="1:16">
      <c r="A31" s="439">
        <v>150</v>
      </c>
      <c r="B31" s="2" t="s">
        <v>717</v>
      </c>
      <c r="C31" s="273" t="s">
        <v>676</v>
      </c>
      <c r="D31" s="253">
        <v>78</v>
      </c>
      <c r="E31" s="254">
        <f t="shared" ref="E31:E50" si="4">D31/100*A31</f>
        <v>117</v>
      </c>
      <c r="F31" s="18"/>
      <c r="G31" s="43"/>
      <c r="H31" s="255">
        <f t="shared" ref="H31:H45" si="5">IF(E31=0,A31,A31/E31*J31)</f>
        <v>127.62762762762765</v>
      </c>
      <c r="I31" s="251" t="str">
        <f t="shared" ref="I31:I45" si="6">B31</f>
        <v>lotte</v>
      </c>
      <c r="J31" s="254">
        <f t="shared" ref="J31:J45" si="7">E31*$M$18%</f>
        <v>99.549549549549553</v>
      </c>
      <c r="L31" s="154"/>
      <c r="N31" s="45"/>
      <c r="P31"/>
    </row>
    <row r="32" spans="1:16">
      <c r="A32" s="439">
        <v>50</v>
      </c>
      <c r="B32" s="2" t="s">
        <v>716</v>
      </c>
      <c r="C32" s="197" t="s">
        <v>674</v>
      </c>
      <c r="D32" s="253">
        <v>322</v>
      </c>
      <c r="E32" s="49">
        <f t="shared" si="4"/>
        <v>161</v>
      </c>
      <c r="F32" s="68"/>
      <c r="G32" s="128"/>
      <c r="H32" s="55">
        <f t="shared" si="5"/>
        <v>42.542542542542542</v>
      </c>
      <c r="I32" s="2" t="str">
        <f t="shared" si="6"/>
        <v>lard fumé</v>
      </c>
      <c r="J32" s="49">
        <f t="shared" si="7"/>
        <v>136.98698698698701</v>
      </c>
      <c r="N32" s="45"/>
      <c r="P32"/>
    </row>
    <row r="33" spans="1:16">
      <c r="A33" s="439">
        <v>14</v>
      </c>
      <c r="B33" s="2" t="s">
        <v>108</v>
      </c>
      <c r="C33" s="197" t="s">
        <v>674</v>
      </c>
      <c r="D33" s="253">
        <v>899</v>
      </c>
      <c r="E33" s="49">
        <f t="shared" ref="E33:E38" si="8">D33/100*A33</f>
        <v>125.86</v>
      </c>
      <c r="F33" s="68"/>
      <c r="G33" s="128"/>
      <c r="H33" s="55">
        <f t="shared" ref="H33:H38" si="9">IF(E33=0,A33,A33/E33*J33)</f>
        <v>11.911911911911913</v>
      </c>
      <c r="I33" s="2" t="str">
        <f t="shared" ref="I33:I38" si="10">B33</f>
        <v>huile d'olive</v>
      </c>
      <c r="J33" s="49">
        <f t="shared" ref="J33:J38" si="11">E33*$M$18%</f>
        <v>107.08808808808809</v>
      </c>
      <c r="N33" s="45"/>
      <c r="P33"/>
    </row>
    <row r="34" spans="1:16">
      <c r="A34" s="439">
        <v>14</v>
      </c>
      <c r="B34" s="2" t="s">
        <v>317</v>
      </c>
      <c r="C34" s="276"/>
      <c r="D34" s="253"/>
      <c r="E34" s="49">
        <f t="shared" si="8"/>
        <v>0</v>
      </c>
      <c r="F34" s="68"/>
      <c r="G34" s="128"/>
      <c r="H34" s="55">
        <f t="shared" si="9"/>
        <v>14</v>
      </c>
      <c r="I34" s="2" t="str">
        <f t="shared" si="10"/>
        <v>vin blanc</v>
      </c>
      <c r="J34" s="49">
        <f t="shared" si="11"/>
        <v>0</v>
      </c>
      <c r="N34" s="45"/>
      <c r="P34"/>
    </row>
    <row r="35" spans="1:16">
      <c r="A35" s="439"/>
      <c r="B35" s="298" t="s">
        <v>718</v>
      </c>
      <c r="C35" s="276"/>
      <c r="D35" s="253"/>
      <c r="E35" s="49">
        <f t="shared" si="8"/>
        <v>0</v>
      </c>
      <c r="F35" s="68"/>
      <c r="G35" s="128"/>
      <c r="H35" s="55">
        <f t="shared" si="9"/>
        <v>0</v>
      </c>
      <c r="I35" s="2" t="str">
        <f t="shared" si="10"/>
        <v>Armagnac</v>
      </c>
      <c r="J35" s="49">
        <f t="shared" si="11"/>
        <v>0</v>
      </c>
      <c r="N35" s="45"/>
      <c r="P35"/>
    </row>
    <row r="36" spans="1:16">
      <c r="A36" s="439">
        <v>8</v>
      </c>
      <c r="B36" s="2" t="s">
        <v>719</v>
      </c>
      <c r="C36" s="273" t="s">
        <v>676</v>
      </c>
      <c r="D36" s="253">
        <v>35</v>
      </c>
      <c r="E36" s="49">
        <f t="shared" si="8"/>
        <v>2.8</v>
      </c>
      <c r="F36" s="68"/>
      <c r="G36" s="128"/>
      <c r="H36" s="55">
        <f t="shared" si="9"/>
        <v>6.8068068068068071</v>
      </c>
      <c r="I36" s="2" t="str">
        <f t="shared" si="10"/>
        <v xml:space="preserve">échalotes </v>
      </c>
      <c r="J36" s="49">
        <f t="shared" si="11"/>
        <v>2.3823823823823824</v>
      </c>
      <c r="N36" s="45"/>
      <c r="P36"/>
    </row>
    <row r="37" spans="1:16">
      <c r="A37" s="439"/>
      <c r="B37" s="2" t="s">
        <v>311</v>
      </c>
      <c r="C37" s="277"/>
      <c r="D37" s="253"/>
      <c r="E37" s="49">
        <f t="shared" si="8"/>
        <v>0</v>
      </c>
      <c r="F37" s="68"/>
      <c r="G37" s="128"/>
      <c r="H37" s="55">
        <f t="shared" si="9"/>
        <v>0</v>
      </c>
      <c r="I37" s="2" t="str">
        <f t="shared" si="10"/>
        <v>1 bouquet garni</v>
      </c>
      <c r="J37" s="49">
        <f t="shared" si="11"/>
        <v>0</v>
      </c>
      <c r="N37" s="45"/>
      <c r="P37"/>
    </row>
    <row r="38" spans="1:16">
      <c r="A38" s="439">
        <f>250/4</f>
        <v>62.5</v>
      </c>
      <c r="B38" s="2" t="s">
        <v>355</v>
      </c>
      <c r="C38" s="273" t="s">
        <v>676</v>
      </c>
      <c r="D38" s="253">
        <v>25</v>
      </c>
      <c r="E38" s="49">
        <f t="shared" si="8"/>
        <v>15.625</v>
      </c>
      <c r="F38" s="68"/>
      <c r="G38" s="128"/>
      <c r="H38" s="55">
        <f t="shared" si="9"/>
        <v>53.178178178178179</v>
      </c>
      <c r="I38" s="2" t="str">
        <f t="shared" si="10"/>
        <v>champignons de Paris</v>
      </c>
      <c r="J38" s="49">
        <f t="shared" si="11"/>
        <v>13.294544544544545</v>
      </c>
      <c r="N38" s="45"/>
      <c r="P38"/>
    </row>
    <row r="39" spans="1:16">
      <c r="A39" s="439">
        <v>40</v>
      </c>
      <c r="B39" s="2" t="s">
        <v>720</v>
      </c>
      <c r="C39" s="273" t="s">
        <v>676</v>
      </c>
      <c r="D39" s="253">
        <v>17</v>
      </c>
      <c r="E39" s="49">
        <f t="shared" si="4"/>
        <v>6.8000000000000007</v>
      </c>
      <c r="F39" s="68"/>
      <c r="G39" s="128"/>
      <c r="H39" s="55">
        <f t="shared" si="5"/>
        <v>34.034034034034036</v>
      </c>
      <c r="I39" s="2" t="str">
        <f t="shared" si="6"/>
        <v>céleri-branche</v>
      </c>
      <c r="J39" s="49">
        <f t="shared" si="7"/>
        <v>5.7857857857857864</v>
      </c>
      <c r="N39" s="45"/>
      <c r="P39"/>
    </row>
    <row r="40" spans="1:16">
      <c r="A40" s="439">
        <v>75</v>
      </c>
      <c r="B40" s="2" t="s">
        <v>175</v>
      </c>
      <c r="C40" s="273" t="s">
        <v>676</v>
      </c>
      <c r="D40" s="253">
        <v>29</v>
      </c>
      <c r="E40" s="49">
        <f t="shared" si="4"/>
        <v>21.75</v>
      </c>
      <c r="F40" s="68"/>
      <c r="G40" s="128"/>
      <c r="H40" s="55">
        <f t="shared" si="5"/>
        <v>63.813813813813816</v>
      </c>
      <c r="I40" s="2" t="str">
        <f t="shared" si="6"/>
        <v>oignons</v>
      </c>
      <c r="J40" s="49">
        <f t="shared" si="7"/>
        <v>18.506006006006007</v>
      </c>
      <c r="N40" s="45"/>
      <c r="P40"/>
    </row>
    <row r="41" spans="1:16">
      <c r="A41" s="439">
        <v>3</v>
      </c>
      <c r="B41" s="2" t="s">
        <v>561</v>
      </c>
      <c r="C41" s="273" t="s">
        <v>676</v>
      </c>
      <c r="D41" s="253">
        <v>131</v>
      </c>
      <c r="E41" s="49">
        <f t="shared" si="4"/>
        <v>3.93</v>
      </c>
      <c r="F41" s="68"/>
      <c r="G41" s="128"/>
      <c r="H41" s="55">
        <f t="shared" si="5"/>
        <v>2.5525525525525525</v>
      </c>
      <c r="I41" s="2" t="str">
        <f t="shared" si="6"/>
        <v>ail</v>
      </c>
      <c r="J41" s="49">
        <f t="shared" si="7"/>
        <v>3.3438438438438443</v>
      </c>
      <c r="N41" s="45"/>
      <c r="P41"/>
    </row>
    <row r="42" spans="1:16">
      <c r="A42" s="439">
        <v>35</v>
      </c>
      <c r="B42" s="2" t="s">
        <v>336</v>
      </c>
      <c r="C42" s="273" t="s">
        <v>676</v>
      </c>
      <c r="D42" s="253">
        <v>16</v>
      </c>
      <c r="E42" s="49">
        <f t="shared" si="4"/>
        <v>5.6000000000000005</v>
      </c>
      <c r="F42" s="68"/>
      <c r="G42" s="128"/>
      <c r="H42" s="55">
        <f t="shared" si="5"/>
        <v>29.77977977977978</v>
      </c>
      <c r="I42" s="2" t="str">
        <f t="shared" si="6"/>
        <v>poivron rouge</v>
      </c>
      <c r="J42" s="49">
        <f t="shared" si="7"/>
        <v>4.7647647647647657</v>
      </c>
      <c r="N42" s="45"/>
      <c r="P42"/>
    </row>
    <row r="43" spans="1:16">
      <c r="A43" s="439">
        <v>35</v>
      </c>
      <c r="B43" s="2" t="s">
        <v>452</v>
      </c>
      <c r="C43" s="273" t="s">
        <v>676</v>
      </c>
      <c r="D43" s="253">
        <v>16</v>
      </c>
      <c r="E43" s="49">
        <f t="shared" si="4"/>
        <v>5.6000000000000005</v>
      </c>
      <c r="F43" s="68"/>
      <c r="G43" s="128"/>
      <c r="H43" s="55">
        <f t="shared" si="5"/>
        <v>29.77977977977978</v>
      </c>
      <c r="I43" s="2" t="str">
        <f>B43</f>
        <v>poivron vert</v>
      </c>
      <c r="J43" s="49">
        <f>E43*$M$18%</f>
        <v>4.7647647647647657</v>
      </c>
      <c r="N43" s="45"/>
      <c r="O43"/>
      <c r="P43"/>
    </row>
    <row r="44" spans="1:16">
      <c r="A44" s="439">
        <v>35</v>
      </c>
      <c r="B44" s="2" t="s">
        <v>143</v>
      </c>
      <c r="C44" s="273" t="s">
        <v>676</v>
      </c>
      <c r="D44" s="253">
        <v>16</v>
      </c>
      <c r="E44" s="49">
        <f t="shared" si="4"/>
        <v>5.6000000000000005</v>
      </c>
      <c r="F44" s="68"/>
      <c r="G44" s="128"/>
      <c r="H44" s="55">
        <f t="shared" si="5"/>
        <v>29.77977977977978</v>
      </c>
      <c r="I44" s="2" t="str">
        <f t="shared" si="6"/>
        <v>poivron jaune</v>
      </c>
      <c r="J44" s="49">
        <f t="shared" si="7"/>
        <v>4.7647647647647657</v>
      </c>
      <c r="N44" s="45"/>
      <c r="P44"/>
    </row>
    <row r="45" spans="1:16">
      <c r="A45" s="439">
        <v>125</v>
      </c>
      <c r="B45" s="2" t="s">
        <v>240</v>
      </c>
      <c r="C45" s="273" t="s">
        <v>676</v>
      </c>
      <c r="D45" s="253">
        <v>19</v>
      </c>
      <c r="E45" s="49">
        <f t="shared" si="4"/>
        <v>23.75</v>
      </c>
      <c r="F45" s="68"/>
      <c r="G45" s="128"/>
      <c r="H45" s="55">
        <f t="shared" si="5"/>
        <v>106.35635635635637</v>
      </c>
      <c r="I45" s="2" t="str">
        <f t="shared" si="6"/>
        <v>tomates</v>
      </c>
      <c r="J45" s="49">
        <f t="shared" si="7"/>
        <v>20.207707707707709</v>
      </c>
      <c r="N45" s="45"/>
      <c r="P45"/>
    </row>
    <row r="46" spans="1:16">
      <c r="A46" s="439">
        <v>0.25</v>
      </c>
      <c r="B46" s="2" t="s">
        <v>2</v>
      </c>
      <c r="C46" s="197" t="s">
        <v>674</v>
      </c>
      <c r="D46" s="253">
        <v>400</v>
      </c>
      <c r="E46" s="49">
        <f t="shared" ref="E46:E48" si="12">D46/100*A46</f>
        <v>1</v>
      </c>
      <c r="F46" s="68"/>
      <c r="G46" s="128"/>
      <c r="H46" s="55">
        <f t="shared" ref="H46:H47" si="13">IF(E46=0,A46,A46/E46*J46)</f>
        <v>0.21271271271271272</v>
      </c>
      <c r="I46" s="2" t="str">
        <f t="shared" ref="I46:I47" si="14">B46</f>
        <v>sucre</v>
      </c>
      <c r="J46" s="49">
        <f t="shared" ref="J46:J47" si="15">E46*$M$18%</f>
        <v>0.85085085085085088</v>
      </c>
      <c r="N46" s="45"/>
      <c r="P46"/>
    </row>
    <row r="47" spans="1:16">
      <c r="A47" s="439">
        <v>0.25</v>
      </c>
      <c r="B47" s="2" t="s">
        <v>313</v>
      </c>
      <c r="C47" s="196" t="s">
        <v>673</v>
      </c>
      <c r="D47" s="253">
        <v>376</v>
      </c>
      <c r="E47" s="49">
        <f t="shared" si="12"/>
        <v>0.94</v>
      </c>
      <c r="F47" s="68"/>
      <c r="G47" s="128"/>
      <c r="H47" s="55">
        <f t="shared" si="13"/>
        <v>0.21271271271271269</v>
      </c>
      <c r="I47" s="2" t="str">
        <f t="shared" si="14"/>
        <v>piment d'espelette</v>
      </c>
      <c r="J47" s="49">
        <f t="shared" si="15"/>
        <v>0.79979979979979976</v>
      </c>
      <c r="N47" s="45"/>
      <c r="P47"/>
    </row>
    <row r="48" spans="1:16">
      <c r="A48" s="439">
        <v>50</v>
      </c>
      <c r="B48" s="2" t="s">
        <v>314</v>
      </c>
      <c r="C48" s="196" t="s">
        <v>673</v>
      </c>
      <c r="D48" s="253">
        <v>349</v>
      </c>
      <c r="E48" s="49">
        <f t="shared" si="12"/>
        <v>174.5</v>
      </c>
      <c r="F48" s="68"/>
      <c r="G48" s="128"/>
      <c r="H48" s="55">
        <f t="shared" ref="H48:H50" si="16">IF(E48=0,A48,A48/E48*J48)</f>
        <v>42.542542542542542</v>
      </c>
      <c r="I48" s="2" t="str">
        <f t="shared" ref="I48:I50" si="17">B48</f>
        <v>riz blanc</v>
      </c>
      <c r="J48" s="49">
        <f t="shared" ref="J48:J50" si="18">E48*$M$18%</f>
        <v>148.47347347347349</v>
      </c>
      <c r="N48" s="45"/>
      <c r="P48"/>
    </row>
    <row r="49" spans="1:16">
      <c r="A49" s="439">
        <v>1.5</v>
      </c>
      <c r="B49" s="2" t="s">
        <v>109</v>
      </c>
      <c r="C49" s="186" t="s">
        <v>674</v>
      </c>
      <c r="D49" s="164">
        <v>0</v>
      </c>
      <c r="E49" s="49">
        <f t="shared" si="4"/>
        <v>0</v>
      </c>
      <c r="F49" s="68"/>
      <c r="G49" s="128"/>
      <c r="H49" s="55">
        <f t="shared" si="16"/>
        <v>1.5</v>
      </c>
      <c r="I49" s="2" t="str">
        <f t="shared" si="17"/>
        <v>sel</v>
      </c>
      <c r="J49" s="49">
        <f t="shared" si="18"/>
        <v>0</v>
      </c>
      <c r="N49" s="45"/>
      <c r="P49"/>
    </row>
    <row r="50" spans="1:16">
      <c r="A50" s="439">
        <v>0.5</v>
      </c>
      <c r="B50" s="2" t="s">
        <v>116</v>
      </c>
      <c r="C50" s="183" t="s">
        <v>675</v>
      </c>
      <c r="D50" s="51">
        <v>222</v>
      </c>
      <c r="E50" s="49">
        <f t="shared" si="4"/>
        <v>1.1100000000000001</v>
      </c>
      <c r="F50" s="68"/>
      <c r="G50" s="128"/>
      <c r="H50" s="55">
        <f t="shared" si="16"/>
        <v>0.42542542542542544</v>
      </c>
      <c r="I50" s="2" t="str">
        <f t="shared" si="17"/>
        <v>poivre</v>
      </c>
      <c r="J50" s="49">
        <f t="shared" si="18"/>
        <v>0.94444444444444453</v>
      </c>
      <c r="L50" s="154"/>
      <c r="N50" s="45"/>
      <c r="O50"/>
      <c r="P50"/>
    </row>
    <row r="51" spans="1:16">
      <c r="A51" s="42"/>
      <c r="B51" s="131"/>
      <c r="C51" s="200"/>
      <c r="E51" s="130" t="s">
        <v>6</v>
      </c>
      <c r="F51" s="138">
        <f>SUM(E31:E50)</f>
        <v>672.86500000000012</v>
      </c>
      <c r="G51" s="128"/>
      <c r="H51" s="42"/>
      <c r="I51" s="131"/>
      <c r="J51" s="130" t="s">
        <v>6</v>
      </c>
      <c r="K51" s="336">
        <f>SUM(J31:J50)</f>
        <v>572.50775775775787</v>
      </c>
      <c r="N51" s="45"/>
      <c r="P51"/>
    </row>
    <row r="52" spans="1:16" ht="6" customHeight="1">
      <c r="A52" s="17"/>
      <c r="B52" s="17"/>
      <c r="C52" s="188"/>
      <c r="D52" s="68"/>
      <c r="E52" s="17"/>
      <c r="F52" s="18"/>
      <c r="G52" s="43"/>
      <c r="H52" s="17"/>
      <c r="I52" s="17"/>
      <c r="J52" s="17"/>
      <c r="N52" s="45"/>
      <c r="O52"/>
      <c r="P52"/>
    </row>
    <row r="53" spans="1:16">
      <c r="A53" s="216" t="s">
        <v>228</v>
      </c>
      <c r="B53" s="16"/>
      <c r="C53" s="209"/>
      <c r="D53" s="17"/>
      <c r="E53" s="17"/>
      <c r="F53" s="18"/>
      <c r="G53" s="43"/>
      <c r="H53" s="17"/>
      <c r="I53" s="17"/>
      <c r="J53" s="17"/>
      <c r="O53"/>
      <c r="P53"/>
    </row>
    <row r="54" spans="1:16">
      <c r="A54" s="438">
        <v>125</v>
      </c>
      <c r="B54" s="2" t="s">
        <v>167</v>
      </c>
      <c r="C54" s="185" t="s">
        <v>676</v>
      </c>
      <c r="D54" s="51">
        <v>69</v>
      </c>
      <c r="E54" s="49">
        <f>D54/100*A54</f>
        <v>86.25</v>
      </c>
      <c r="F54" s="18"/>
      <c r="G54" s="43"/>
      <c r="H54" s="55">
        <f>IF(E54=0,A54,A54/E54*J54)</f>
        <v>106.35635635635636</v>
      </c>
      <c r="I54" s="56" t="str">
        <f t="shared" ref="I54:I55" si="19">B54</f>
        <v>yogourt nature</v>
      </c>
      <c r="J54" s="49">
        <f>E54*$M$18%</f>
        <v>73.385885885885884</v>
      </c>
      <c r="L54" s="154"/>
      <c r="N54" s="45"/>
      <c r="O54"/>
      <c r="P54"/>
    </row>
    <row r="55" spans="1:16">
      <c r="A55" s="438">
        <v>4</v>
      </c>
      <c r="B55" s="2" t="s">
        <v>2</v>
      </c>
      <c r="C55" s="197" t="s">
        <v>674</v>
      </c>
      <c r="D55" s="51">
        <v>400</v>
      </c>
      <c r="E55" s="49">
        <f>D55/100*A55</f>
        <v>16</v>
      </c>
      <c r="F55" s="68"/>
      <c r="G55" s="128"/>
      <c r="H55" s="55">
        <f>IF(E55=0,A55,A55/E55*J55)</f>
        <v>3.4034034034034035</v>
      </c>
      <c r="I55" s="2" t="str">
        <f t="shared" si="19"/>
        <v>sucre</v>
      </c>
      <c r="J55" s="49">
        <f>E55*$M$18%</f>
        <v>13.613613613613614</v>
      </c>
      <c r="L55" s="154"/>
      <c r="N55" s="45"/>
      <c r="P55"/>
    </row>
    <row r="56" spans="1:16">
      <c r="A56" s="42"/>
      <c r="B56" s="157"/>
      <c r="C56" s="272"/>
      <c r="E56" s="130" t="s">
        <v>6</v>
      </c>
      <c r="F56" s="135">
        <f>SUM(E54:E55)</f>
        <v>102.25</v>
      </c>
      <c r="G56" s="140"/>
      <c r="H56" s="42"/>
      <c r="I56" s="131"/>
      <c r="J56" s="130" t="s">
        <v>6</v>
      </c>
      <c r="K56" s="336">
        <f>SUM(J54:J55)</f>
        <v>86.999499499499493</v>
      </c>
      <c r="N56" s="45"/>
      <c r="P56"/>
    </row>
    <row r="57" spans="1:16">
      <c r="A57" s="216" t="s">
        <v>226</v>
      </c>
      <c r="B57" s="16"/>
      <c r="C57" s="209"/>
      <c r="D57" s="17"/>
      <c r="E57" s="17"/>
      <c r="F57" s="18"/>
      <c r="G57" s="43"/>
      <c r="H57" s="17"/>
      <c r="I57" s="17"/>
      <c r="J57" s="17"/>
      <c r="O57"/>
      <c r="P57"/>
    </row>
    <row r="58" spans="1:16">
      <c r="A58" s="256" t="s">
        <v>315</v>
      </c>
      <c r="B58" s="257"/>
      <c r="C58" s="323"/>
      <c r="D58" s="257"/>
      <c r="E58" s="257"/>
      <c r="F58" s="257"/>
      <c r="G58" s="257"/>
      <c r="H58" s="257"/>
      <c r="I58" s="257"/>
      <c r="J58" s="258"/>
      <c r="N58" s="45"/>
      <c r="P58"/>
    </row>
    <row r="59" spans="1:16">
      <c r="A59" s="439">
        <v>40</v>
      </c>
      <c r="B59" s="2" t="s">
        <v>432</v>
      </c>
      <c r="C59" s="249" t="s">
        <v>677</v>
      </c>
      <c r="D59" s="253">
        <v>422</v>
      </c>
      <c r="E59" s="49">
        <f t="shared" ref="E59:E65" si="20">D59/100*A59</f>
        <v>168.79999999999998</v>
      </c>
      <c r="F59" s="68"/>
      <c r="G59" s="128"/>
      <c r="H59" s="55">
        <f t="shared" ref="H59:H65" si="21">IF(E59=0,A59,A59/E59*J59)</f>
        <v>34.034034034034036</v>
      </c>
      <c r="I59" s="2" t="str">
        <f t="shared" ref="I59:I65" si="22">B59</f>
        <v>Gruyères</v>
      </c>
      <c r="J59" s="49">
        <f t="shared" ref="J59:J76" si="23">E59*$M$18%</f>
        <v>143.62362362362362</v>
      </c>
      <c r="N59" s="45"/>
      <c r="O59"/>
      <c r="P59"/>
    </row>
    <row r="60" spans="1:16">
      <c r="A60" s="439">
        <v>40</v>
      </c>
      <c r="B60" s="2" t="s">
        <v>714</v>
      </c>
      <c r="C60" s="249" t="s">
        <v>677</v>
      </c>
      <c r="D60" s="253">
        <v>286</v>
      </c>
      <c r="E60" s="49">
        <f t="shared" si="20"/>
        <v>114.39999999999999</v>
      </c>
      <c r="F60" s="68"/>
      <c r="G60" s="128"/>
      <c r="H60" s="55">
        <f t="shared" si="21"/>
        <v>34.034034034034036</v>
      </c>
      <c r="I60" s="2" t="str">
        <f t="shared" si="22"/>
        <v>tomme (vache)</v>
      </c>
      <c r="J60" s="49">
        <f t="shared" si="23"/>
        <v>97.337337337337331</v>
      </c>
      <c r="N60" s="45"/>
      <c r="O60"/>
      <c r="P60"/>
    </row>
    <row r="61" spans="1:16">
      <c r="A61" s="439">
        <v>40</v>
      </c>
      <c r="B61" s="2" t="s">
        <v>715</v>
      </c>
      <c r="C61" s="249" t="s">
        <v>677</v>
      </c>
      <c r="D61" s="253">
        <v>341</v>
      </c>
      <c r="E61" s="49">
        <f t="shared" si="20"/>
        <v>136.4</v>
      </c>
      <c r="F61" s="68"/>
      <c r="G61" s="128"/>
      <c r="H61" s="55">
        <f t="shared" si="21"/>
        <v>34.034034034034029</v>
      </c>
      <c r="I61" s="2" t="str">
        <f t="shared" si="22"/>
        <v>Saint-Nectaire</v>
      </c>
      <c r="J61" s="49">
        <f t="shared" si="23"/>
        <v>116.05605605605606</v>
      </c>
      <c r="N61" s="45"/>
      <c r="O61"/>
      <c r="P61"/>
    </row>
    <row r="62" spans="1:16">
      <c r="A62" s="439">
        <f>700/4</f>
        <v>175</v>
      </c>
      <c r="B62" s="2" t="s">
        <v>346</v>
      </c>
      <c r="C62" s="273" t="s">
        <v>676</v>
      </c>
      <c r="D62" s="253">
        <v>76</v>
      </c>
      <c r="E62" s="49">
        <f t="shared" si="20"/>
        <v>133</v>
      </c>
      <c r="F62" s="68"/>
      <c r="G62" s="128"/>
      <c r="H62" s="55">
        <f t="shared" si="21"/>
        <v>148.89889889889892</v>
      </c>
      <c r="I62" s="2" t="str">
        <f t="shared" si="22"/>
        <v>pommes de terre nouvelles</v>
      </c>
      <c r="J62" s="49">
        <f t="shared" si="23"/>
        <v>113.16316316316316</v>
      </c>
      <c r="N62" s="45"/>
      <c r="O62"/>
      <c r="P62"/>
    </row>
    <row r="63" spans="1:16">
      <c r="A63" s="439">
        <v>50</v>
      </c>
      <c r="B63" s="2" t="s">
        <v>239</v>
      </c>
      <c r="C63" s="273" t="s">
        <v>676</v>
      </c>
      <c r="D63" s="253">
        <v>18</v>
      </c>
      <c r="E63" s="49">
        <f t="shared" si="20"/>
        <v>9</v>
      </c>
      <c r="F63" s="68"/>
      <c r="G63" s="128"/>
      <c r="H63" s="55">
        <f t="shared" si="21"/>
        <v>42.542542542542542</v>
      </c>
      <c r="I63" s="2" t="str">
        <f t="shared" si="22"/>
        <v>salade</v>
      </c>
      <c r="J63" s="49">
        <f t="shared" si="23"/>
        <v>7.6576576576576576</v>
      </c>
      <c r="N63" s="45"/>
      <c r="O63"/>
      <c r="P63"/>
    </row>
    <row r="64" spans="1:16">
      <c r="A64" s="439">
        <v>12</v>
      </c>
      <c r="B64" s="2" t="s">
        <v>162</v>
      </c>
      <c r="C64" s="197" t="s">
        <v>674</v>
      </c>
      <c r="D64" s="253">
        <v>446</v>
      </c>
      <c r="E64" s="49">
        <f t="shared" si="20"/>
        <v>53.519999999999996</v>
      </c>
      <c r="F64" s="68"/>
      <c r="G64" s="128"/>
      <c r="H64" s="55">
        <f t="shared" si="21"/>
        <v>10.21021021021021</v>
      </c>
      <c r="I64" s="2" t="str">
        <f t="shared" si="22"/>
        <v>sauce française</v>
      </c>
      <c r="J64" s="49">
        <f t="shared" si="23"/>
        <v>45.537537537537538</v>
      </c>
      <c r="N64" s="45"/>
      <c r="O64"/>
      <c r="P64"/>
    </row>
    <row r="65" spans="1:16">
      <c r="A65" s="439">
        <v>0.5</v>
      </c>
      <c r="B65" s="2" t="s">
        <v>109</v>
      </c>
      <c r="C65" s="197" t="s">
        <v>674</v>
      </c>
      <c r="D65" s="253">
        <v>0</v>
      </c>
      <c r="E65" s="49">
        <f t="shared" si="20"/>
        <v>0</v>
      </c>
      <c r="F65" s="68"/>
      <c r="G65" s="128"/>
      <c r="H65" s="55">
        <f t="shared" si="21"/>
        <v>0.5</v>
      </c>
      <c r="I65" s="2" t="str">
        <f t="shared" si="22"/>
        <v>sel</v>
      </c>
      <c r="J65" s="49">
        <f t="shared" si="23"/>
        <v>0</v>
      </c>
      <c r="N65" s="45"/>
      <c r="O65"/>
      <c r="P65"/>
    </row>
    <row r="66" spans="1:16">
      <c r="A66" s="42"/>
      <c r="B66" s="131"/>
      <c r="C66" s="201"/>
      <c r="E66" s="130" t="s">
        <v>6</v>
      </c>
      <c r="F66" s="175">
        <f>SUM(E59:E65)</f>
        <v>615.12</v>
      </c>
      <c r="G66" s="140"/>
      <c r="H66" s="42"/>
      <c r="I66" s="131"/>
      <c r="J66" s="130" t="s">
        <v>6</v>
      </c>
      <c r="K66" s="336">
        <f>SUM(J59:J65)</f>
        <v>523.37537537537537</v>
      </c>
      <c r="N66" s="45"/>
      <c r="P66"/>
    </row>
    <row r="67" spans="1:16">
      <c r="A67" s="256" t="s">
        <v>219</v>
      </c>
      <c r="B67" s="257"/>
      <c r="C67" s="323"/>
      <c r="D67" s="257"/>
      <c r="E67" s="257"/>
      <c r="F67" s="257"/>
      <c r="G67" s="257"/>
      <c r="H67" s="257"/>
      <c r="I67" s="257"/>
      <c r="J67" s="258"/>
      <c r="L67" s="154"/>
      <c r="N67" s="45"/>
      <c r="P67"/>
    </row>
    <row r="68" spans="1:16">
      <c r="A68" s="438">
        <v>75</v>
      </c>
      <c r="B68" s="2" t="s">
        <v>4</v>
      </c>
      <c r="C68" s="183" t="s">
        <v>675</v>
      </c>
      <c r="D68" s="51">
        <v>55</v>
      </c>
      <c r="E68" s="49">
        <f t="shared" ref="E68:E73" si="24">D68/100*A68</f>
        <v>41.25</v>
      </c>
      <c r="F68" s="68"/>
      <c r="G68" s="128"/>
      <c r="H68" s="55">
        <f>IF(E68=0,A68,A68/E68*J68)</f>
        <v>63.813813813813816</v>
      </c>
      <c r="I68" s="2" t="str">
        <f>B68</f>
        <v>pomme</v>
      </c>
      <c r="J68" s="49">
        <f t="shared" si="23"/>
        <v>35.097597597597598</v>
      </c>
      <c r="K68" s="241"/>
      <c r="L68" s="154"/>
      <c r="N68" s="45"/>
      <c r="O68"/>
      <c r="P68"/>
    </row>
    <row r="69" spans="1:16">
      <c r="A69" s="438">
        <v>125</v>
      </c>
      <c r="B69" s="2" t="s">
        <v>220</v>
      </c>
      <c r="C69" s="185" t="s">
        <v>676</v>
      </c>
      <c r="D69" s="51">
        <v>49</v>
      </c>
      <c r="E69" s="49">
        <f t="shared" si="24"/>
        <v>61.25</v>
      </c>
      <c r="F69" s="68"/>
      <c r="G69" s="128"/>
      <c r="H69" s="55">
        <f t="shared" ref="H69:H72" si="25">IF(E69=0,A69,A69/E69*J69)</f>
        <v>106.35635635635636</v>
      </c>
      <c r="I69" s="2" t="str">
        <f t="shared" ref="I69:I72" si="26">B69</f>
        <v>ananas</v>
      </c>
      <c r="J69" s="49">
        <f t="shared" si="23"/>
        <v>52.114614614614617</v>
      </c>
      <c r="K69" s="241"/>
      <c r="L69" s="154"/>
      <c r="N69" s="45"/>
      <c r="O69"/>
      <c r="P69"/>
    </row>
    <row r="70" spans="1:16">
      <c r="A70" s="438">
        <v>65</v>
      </c>
      <c r="B70" s="2" t="s">
        <v>199</v>
      </c>
      <c r="C70" s="185" t="s">
        <v>676</v>
      </c>
      <c r="D70" s="164">
        <v>91</v>
      </c>
      <c r="E70" s="49">
        <f t="shared" si="24"/>
        <v>59.15</v>
      </c>
      <c r="F70" s="68"/>
      <c r="G70" s="128"/>
      <c r="H70" s="55">
        <f t="shared" si="25"/>
        <v>55.305305305305303</v>
      </c>
      <c r="I70" s="2" t="str">
        <f t="shared" si="26"/>
        <v>banane</v>
      </c>
      <c r="J70" s="49">
        <f t="shared" si="23"/>
        <v>50.327827827827825</v>
      </c>
      <c r="K70" s="241"/>
      <c r="L70" s="154"/>
      <c r="N70" s="45"/>
      <c r="O70"/>
      <c r="P70"/>
    </row>
    <row r="71" spans="1:16">
      <c r="A71" s="438">
        <v>37.5</v>
      </c>
      <c r="B71" s="2" t="s">
        <v>222</v>
      </c>
      <c r="C71" s="185" t="s">
        <v>676</v>
      </c>
      <c r="D71" s="2">
        <v>49</v>
      </c>
      <c r="E71" s="49">
        <f t="shared" si="24"/>
        <v>18.375</v>
      </c>
      <c r="F71" s="68"/>
      <c r="G71" s="128"/>
      <c r="H71" s="55">
        <f t="shared" si="25"/>
        <v>31.906906906906908</v>
      </c>
      <c r="I71" s="2" t="str">
        <f t="shared" si="26"/>
        <v>kiwi</v>
      </c>
      <c r="J71" s="49">
        <f t="shared" si="23"/>
        <v>15.634384384384385</v>
      </c>
      <c r="K71" s="241"/>
      <c r="L71" s="154"/>
      <c r="N71" s="45"/>
      <c r="O71"/>
      <c r="P71"/>
    </row>
    <row r="72" spans="1:16">
      <c r="A72" s="438">
        <v>22</v>
      </c>
      <c r="B72" s="2" t="s">
        <v>221</v>
      </c>
      <c r="C72" s="183" t="s">
        <v>675</v>
      </c>
      <c r="D72" s="51">
        <v>64</v>
      </c>
      <c r="E72" s="49">
        <f t="shared" si="24"/>
        <v>14.08</v>
      </c>
      <c r="F72" s="68"/>
      <c r="G72" s="128"/>
      <c r="H72" s="55">
        <f t="shared" si="25"/>
        <v>18.718718718718719</v>
      </c>
      <c r="I72" s="2" t="str">
        <f t="shared" si="26"/>
        <v>litchi</v>
      </c>
      <c r="J72" s="49">
        <f t="shared" si="23"/>
        <v>11.97997997997998</v>
      </c>
      <c r="K72" s="241"/>
      <c r="L72" s="154"/>
      <c r="N72" s="45"/>
      <c r="O72"/>
      <c r="P72"/>
    </row>
    <row r="73" spans="1:16">
      <c r="A73" s="438">
        <v>12</v>
      </c>
      <c r="B73" s="2" t="s">
        <v>223</v>
      </c>
      <c r="C73" s="185" t="s">
        <v>676</v>
      </c>
      <c r="D73" s="164">
        <v>17</v>
      </c>
      <c r="E73" s="49">
        <f t="shared" si="24"/>
        <v>2.04</v>
      </c>
      <c r="F73" s="68"/>
      <c r="G73" s="128"/>
      <c r="H73" s="55">
        <f>IF(E73=0,A73,A73/E73*J73)</f>
        <v>10.21021021021021</v>
      </c>
      <c r="I73" s="2" t="str">
        <f>B73</f>
        <v>jus citron</v>
      </c>
      <c r="J73" s="49">
        <f>E73*$M$18%</f>
        <v>1.7357357357357359</v>
      </c>
      <c r="K73" s="241"/>
      <c r="L73" s="154"/>
      <c r="N73" s="45"/>
      <c r="O73"/>
      <c r="P73"/>
    </row>
    <row r="74" spans="1:16">
      <c r="A74" s="453">
        <v>3</v>
      </c>
      <c r="B74" s="289" t="s">
        <v>414</v>
      </c>
      <c r="C74" s="197" t="s">
        <v>674</v>
      </c>
      <c r="D74" s="291">
        <v>298</v>
      </c>
      <c r="E74" s="49">
        <f>D74/100*A74</f>
        <v>8.94</v>
      </c>
      <c r="F74" s="68"/>
      <c r="G74" s="128"/>
      <c r="H74" s="55">
        <f>IF(E74=0,A74,A74/E74*J74)</f>
        <v>2.5525525525525525</v>
      </c>
      <c r="I74" s="2" t="str">
        <f>B74</f>
        <v xml:space="preserve"> raisins secs sultanine</v>
      </c>
      <c r="J74" s="49">
        <f>E74*$M$18%</f>
        <v>7.606606606606606</v>
      </c>
      <c r="K74" s="241"/>
      <c r="O74" s="45"/>
      <c r="P74"/>
    </row>
    <row r="75" spans="1:16">
      <c r="A75" s="42"/>
      <c r="B75" s="131"/>
      <c r="C75" s="201"/>
      <c r="E75" s="143" t="s">
        <v>6</v>
      </c>
      <c r="F75" s="138">
        <f>SUM(E68:E74)</f>
        <v>205.08500000000001</v>
      </c>
      <c r="G75" s="25"/>
      <c r="H75" s="42"/>
      <c r="I75" s="131"/>
      <c r="J75" s="143" t="s">
        <v>6</v>
      </c>
      <c r="K75" s="336">
        <f>SUM(J68:J74)</f>
        <v>174.49674674674679</v>
      </c>
      <c r="N75" s="45"/>
      <c r="P75"/>
    </row>
    <row r="76" spans="1:16">
      <c r="A76" s="54">
        <f>IF(D5="non",0,IF(D5="1 verre",125,250))</f>
        <v>0</v>
      </c>
      <c r="B76" s="2" t="str">
        <f>IF(A76=0,"","vin")</f>
        <v/>
      </c>
      <c r="C76" s="203"/>
      <c r="D76" s="51">
        <v>80</v>
      </c>
      <c r="E76" s="49">
        <f>D76/100*A76</f>
        <v>0</v>
      </c>
      <c r="G76" s="142"/>
      <c r="H76" s="55">
        <f>IF(E76=0,A76,A76/E76*J76)</f>
        <v>0</v>
      </c>
      <c r="I76" s="2" t="str">
        <f>B76</f>
        <v/>
      </c>
      <c r="J76" s="49">
        <f t="shared" si="23"/>
        <v>0</v>
      </c>
      <c r="K76" s="335"/>
      <c r="N76" s="45"/>
      <c r="O76"/>
      <c r="P76"/>
    </row>
    <row r="77" spans="1:16" ht="6" customHeight="1">
      <c r="A77" s="17"/>
      <c r="B77" s="17"/>
      <c r="C77" s="188"/>
      <c r="D77" s="68"/>
      <c r="E77" s="17"/>
      <c r="F77" s="18"/>
      <c r="G77" s="204"/>
      <c r="H77" s="17"/>
      <c r="I77" s="17"/>
      <c r="J77" s="17"/>
      <c r="K77" s="335"/>
      <c r="O77"/>
      <c r="P77"/>
    </row>
    <row r="78" spans="1:16">
      <c r="A78" s="17"/>
      <c r="B78" s="17"/>
      <c r="C78" s="188"/>
      <c r="D78" s="69" t="s">
        <v>129</v>
      </c>
      <c r="F78" s="138">
        <f>SUM(F22:F75)</f>
        <v>1997.8900000000003</v>
      </c>
      <c r="G78" s="204"/>
      <c r="H78" s="17"/>
      <c r="I78" s="69" t="s">
        <v>129</v>
      </c>
      <c r="K78" s="336">
        <f>SUM(K22:K75)</f>
        <v>1699.9064064064066</v>
      </c>
      <c r="O78"/>
      <c r="P78"/>
    </row>
    <row r="79" spans="1:16">
      <c r="A79" s="17"/>
      <c r="B79" s="17"/>
      <c r="C79" s="188"/>
      <c r="D79" s="18" t="s">
        <v>130</v>
      </c>
      <c r="E79" s="25"/>
      <c r="F79" s="144">
        <f>F78+E76</f>
        <v>1997.8900000000003</v>
      </c>
      <c r="G79" s="43"/>
      <c r="H79" s="42"/>
      <c r="I79" s="18" t="s">
        <v>130</v>
      </c>
      <c r="J79" s="25"/>
      <c r="K79" s="336">
        <f>K78+J76</f>
        <v>1699.9064064064066</v>
      </c>
      <c r="O79"/>
      <c r="P79"/>
    </row>
    <row r="80" spans="1:16">
      <c r="A80" s="17"/>
      <c r="B80" s="16"/>
      <c r="C80" s="188"/>
      <c r="D80" s="17"/>
      <c r="E80" s="17"/>
      <c r="F80" s="205"/>
      <c r="G80" s="43"/>
      <c r="H80" s="17"/>
      <c r="I80" s="17"/>
      <c r="J80" s="17"/>
      <c r="O80"/>
      <c r="P80"/>
    </row>
    <row r="81" spans="1:16" ht="19">
      <c r="A81" s="118" t="s">
        <v>100</v>
      </c>
      <c r="B81" s="491" t="s">
        <v>99</v>
      </c>
      <c r="C81" s="491"/>
      <c r="D81" s="17"/>
      <c r="E81" s="17"/>
      <c r="F81" s="18"/>
      <c r="G81" s="18"/>
      <c r="H81" s="17"/>
      <c r="I81" s="17"/>
      <c r="J81" s="17"/>
      <c r="O81"/>
      <c r="P81"/>
    </row>
    <row r="82" spans="1:16" s="452" customFormat="1" ht="409" customHeight="1">
      <c r="A82" s="445"/>
      <c r="B82" s="446"/>
      <c r="C82" s="447"/>
      <c r="D82" s="445"/>
      <c r="E82" s="445"/>
      <c r="F82" s="448"/>
      <c r="G82" s="448"/>
      <c r="H82" s="445"/>
      <c r="I82" s="445"/>
      <c r="J82" s="445"/>
      <c r="K82" s="448"/>
      <c r="L82" s="449"/>
      <c r="M82" s="450"/>
      <c r="N82" s="451"/>
      <c r="O82" s="451"/>
    </row>
    <row r="83" spans="1:16">
      <c r="A83" s="17"/>
      <c r="B83" s="16"/>
      <c r="C83" s="188"/>
      <c r="D83" s="17"/>
      <c r="E83" s="17"/>
      <c r="F83" s="18"/>
      <c r="G83" s="18"/>
      <c r="H83" s="17"/>
      <c r="I83" s="17"/>
      <c r="J83" s="17"/>
      <c r="O83"/>
      <c r="P83"/>
    </row>
    <row r="84" spans="1:16">
      <c r="A84" s="17"/>
      <c r="B84" s="16"/>
      <c r="C84" s="188"/>
      <c r="D84" s="17"/>
      <c r="E84" s="17"/>
      <c r="F84" s="18"/>
      <c r="G84" s="18"/>
      <c r="H84" s="17"/>
      <c r="I84" s="17"/>
      <c r="J84" s="17"/>
      <c r="O84"/>
      <c r="P84"/>
    </row>
    <row r="85" spans="1:16">
      <c r="F85" s="18"/>
      <c r="G85" s="18"/>
      <c r="N85"/>
      <c r="O85"/>
      <c r="P85"/>
    </row>
    <row r="86" spans="1:16">
      <c r="F86" s="206"/>
      <c r="N86"/>
      <c r="O86"/>
      <c r="P86"/>
    </row>
    <row r="87" spans="1:16">
      <c r="B87"/>
      <c r="N87"/>
      <c r="O87"/>
      <c r="P87"/>
    </row>
    <row r="88" spans="1:16">
      <c r="B88"/>
      <c r="N88"/>
      <c r="O88"/>
      <c r="P88"/>
    </row>
    <row r="89" spans="1:16">
      <c r="B89"/>
      <c r="N89"/>
      <c r="O89"/>
      <c r="P89"/>
    </row>
    <row r="90" spans="1:16">
      <c r="B90"/>
      <c r="N90"/>
      <c r="O90"/>
      <c r="P90"/>
    </row>
    <row r="91" spans="1:16">
      <c r="B91"/>
      <c r="N91"/>
      <c r="O91"/>
      <c r="P91"/>
    </row>
    <row r="92" spans="1:16">
      <c r="B92"/>
      <c r="N92"/>
      <c r="O92"/>
      <c r="P92"/>
    </row>
    <row r="93" spans="1:16">
      <c r="B93"/>
      <c r="N93"/>
      <c r="O93"/>
      <c r="P93"/>
    </row>
    <row r="94" spans="1:16">
      <c r="B94"/>
      <c r="N94"/>
      <c r="O94"/>
      <c r="P94"/>
    </row>
    <row r="95" spans="1:16">
      <c r="B95"/>
      <c r="N95"/>
      <c r="O95"/>
      <c r="P95"/>
    </row>
    <row r="96" spans="1:16">
      <c r="B96"/>
      <c r="N96"/>
      <c r="O96"/>
      <c r="P96"/>
    </row>
    <row r="97" spans="2:16">
      <c r="B97"/>
      <c r="N97"/>
      <c r="O97"/>
      <c r="P97"/>
    </row>
    <row r="98" spans="2:16">
      <c r="B98"/>
      <c r="N98"/>
      <c r="O98"/>
      <c r="P98"/>
    </row>
    <row r="99" spans="2:16">
      <c r="B99"/>
      <c r="N99"/>
      <c r="O99"/>
      <c r="P99"/>
    </row>
    <row r="100" spans="2:16">
      <c r="B100"/>
      <c r="N100"/>
      <c r="O100"/>
      <c r="P100"/>
    </row>
    <row r="101" spans="2:16">
      <c r="B101"/>
      <c r="F101"/>
      <c r="G101"/>
      <c r="K101" s="235"/>
      <c r="N101"/>
      <c r="O101"/>
      <c r="P101"/>
    </row>
    <row r="102" spans="2:16">
      <c r="B102"/>
      <c r="F102"/>
      <c r="G102"/>
      <c r="K102" s="235"/>
      <c r="N102"/>
      <c r="O102"/>
      <c r="P102"/>
    </row>
    <row r="103" spans="2:16">
      <c r="B103"/>
      <c r="F103"/>
      <c r="G103"/>
      <c r="K103" s="235"/>
      <c r="N103"/>
      <c r="O103"/>
      <c r="P103"/>
    </row>
    <row r="104" spans="2:16">
      <c r="B104"/>
      <c r="F104"/>
      <c r="G104"/>
      <c r="K104" s="235"/>
      <c r="N104"/>
      <c r="O104"/>
      <c r="P104"/>
    </row>
    <row r="105" spans="2:16">
      <c r="B105"/>
      <c r="F105"/>
      <c r="G105"/>
      <c r="K105" s="235"/>
      <c r="N105"/>
      <c r="O105"/>
      <c r="P105"/>
    </row>
  </sheetData>
  <sheetProtection password="A5F4" sheet="1" objects="1" scenarios="1" selectLockedCells="1"/>
  <mergeCells count="8">
    <mergeCell ref="B81:C81"/>
    <mergeCell ref="D8:J8"/>
    <mergeCell ref="B15:J15"/>
    <mergeCell ref="A18:A19"/>
    <mergeCell ref="B18:B19"/>
    <mergeCell ref="D18:E18"/>
    <mergeCell ref="H18:H19"/>
    <mergeCell ref="I18:I19"/>
  </mergeCells>
  <dataValidations xWindow="846" yWindow="287" count="3">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Objectif du jour" prompt="Entrez ici l'apport calorique souhaité._x000d_Arrondissez à la centaine inférieure ou supérieure l'estimation obtenue avec le calculateur du feuillet &quot;bilan&quot;._x000d_Cet objectif est ensuite figé pour la totalité de l'exercice (14 jours)." sqref="D7"/>
    <dataValidation allowBlank="1" showErrorMessage="1" promptTitle="Modification des quantités" prompt="Vous pouvez diminuer ou augmenter la quantité,._x000d_Si vous désirez supprimer l'aliment, inscrivez 0 (zéro)." sqref="A1:A1048576"/>
  </dataValidations>
  <hyperlinks>
    <hyperlink ref="B81" location="sommaire!A1" display="RETOUR AU SOMMAIRE"/>
    <hyperlink ref="C81"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846" yWindow="287"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5"/>
  <sheetViews>
    <sheetView workbookViewId="0">
      <selection activeCell="D5" sqref="D5"/>
    </sheetView>
  </sheetViews>
  <sheetFormatPr baseColWidth="10" defaultRowHeight="15" x14ac:dyDescent="0"/>
  <cols>
    <col min="1" max="1" width="6.33203125" customWidth="1"/>
    <col min="2" max="2" width="28.5" style="5" customWidth="1"/>
    <col min="3" max="3" width="3.5" style="215"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8.6640625" style="407" customWidth="1"/>
    <col min="14" max="16" width="10.83203125" style="44"/>
  </cols>
  <sheetData>
    <row r="1" spans="1:16" ht="19">
      <c r="A1" s="207" t="s">
        <v>747</v>
      </c>
      <c r="B1" s="120"/>
      <c r="C1" s="208"/>
      <c r="D1" s="121"/>
      <c r="E1" s="121"/>
      <c r="F1" s="122"/>
      <c r="G1" s="122"/>
      <c r="H1" s="122"/>
      <c r="I1" s="123" t="s">
        <v>101</v>
      </c>
      <c r="J1" s="266" t="s">
        <v>676</v>
      </c>
      <c r="N1"/>
      <c r="O1"/>
      <c r="P1"/>
    </row>
    <row r="2" spans="1:16">
      <c r="A2" s="17"/>
      <c r="B2" s="16" t="s">
        <v>12</v>
      </c>
      <c r="C2" s="209"/>
      <c r="D2" s="17"/>
      <c r="E2" s="17"/>
      <c r="F2" s="18"/>
      <c r="G2" s="18"/>
      <c r="H2" s="17"/>
      <c r="I2" s="17"/>
      <c r="J2" s="17"/>
      <c r="N2"/>
      <c r="O2"/>
      <c r="P2"/>
    </row>
    <row r="3" spans="1:16">
      <c r="A3" s="16" t="s">
        <v>19</v>
      </c>
      <c r="B3" s="16"/>
      <c r="C3" s="209"/>
      <c r="D3" s="15">
        <f>ROUND(F77,0)</f>
        <v>2004</v>
      </c>
      <c r="E3" s="17" t="s">
        <v>9</v>
      </c>
      <c r="F3" s="18"/>
      <c r="G3" s="18"/>
      <c r="H3" s="42"/>
      <c r="I3" s="42"/>
      <c r="J3" s="42"/>
      <c r="N3"/>
      <c r="O3"/>
      <c r="P3"/>
    </row>
    <row r="4" spans="1:16" ht="12" customHeight="1">
      <c r="A4" s="24" t="s">
        <v>26</v>
      </c>
      <c r="B4" s="16"/>
      <c r="C4" s="209"/>
      <c r="D4" s="19"/>
      <c r="E4" s="17"/>
      <c r="F4" s="18"/>
      <c r="G4" s="18"/>
      <c r="H4" s="17"/>
      <c r="I4" s="17"/>
      <c r="J4" s="17"/>
      <c r="N4"/>
      <c r="O4"/>
      <c r="P4"/>
    </row>
    <row r="5" spans="1:16">
      <c r="A5" s="16" t="s">
        <v>29</v>
      </c>
      <c r="B5" s="16"/>
      <c r="C5" s="210" t="s">
        <v>25</v>
      </c>
      <c r="D5" s="436" t="s">
        <v>10</v>
      </c>
      <c r="E5" s="17" t="s">
        <v>32</v>
      </c>
      <c r="F5" s="18"/>
      <c r="G5" s="18"/>
      <c r="H5" s="17"/>
      <c r="I5" s="17"/>
      <c r="J5" s="17"/>
      <c r="N5"/>
      <c r="O5"/>
      <c r="P5"/>
    </row>
    <row r="6" spans="1:16">
      <c r="A6" s="16" t="s">
        <v>18</v>
      </c>
      <c r="B6" s="16"/>
      <c r="C6" s="209"/>
      <c r="D6" s="437">
        <v>0</v>
      </c>
      <c r="E6" s="17" t="s">
        <v>9</v>
      </c>
      <c r="F6" s="98"/>
      <c r="G6" s="414" t="s">
        <v>100</v>
      </c>
      <c r="H6" s="415" t="s">
        <v>33</v>
      </c>
      <c r="I6" s="17"/>
      <c r="J6" s="17"/>
      <c r="N6"/>
      <c r="O6"/>
      <c r="P6"/>
    </row>
    <row r="7" spans="1:16">
      <c r="A7" s="21" t="s">
        <v>35</v>
      </c>
      <c r="B7" s="16"/>
      <c r="C7" s="210"/>
      <c r="D7" s="49">
        <f>jour_1!D7</f>
        <v>1700</v>
      </c>
      <c r="E7" s="17" t="s">
        <v>9</v>
      </c>
      <c r="F7" s="18"/>
      <c r="G7" s="416"/>
      <c r="H7" s="417" t="s">
        <v>816</v>
      </c>
      <c r="I7" s="17"/>
      <c r="J7" s="17"/>
      <c r="N7"/>
      <c r="O7"/>
      <c r="P7"/>
    </row>
    <row r="8" spans="1:16" ht="45" customHeight="1">
      <c r="A8" s="17"/>
      <c r="B8" s="16"/>
      <c r="C8" s="209"/>
      <c r="D8" s="480" t="str">
        <f>IF(D5="non","",d!A24)</f>
        <v/>
      </c>
      <c r="E8" s="480"/>
      <c r="F8" s="480"/>
      <c r="G8" s="480"/>
      <c r="H8" s="480"/>
      <c r="I8" s="480"/>
      <c r="J8" s="480"/>
      <c r="K8" s="334"/>
      <c r="L8" s="243"/>
      <c r="N8"/>
      <c r="O8"/>
      <c r="P8"/>
    </row>
    <row r="9" spans="1:16" ht="6" customHeight="1">
      <c r="A9" s="17"/>
      <c r="B9" s="16"/>
      <c r="C9" s="209"/>
      <c r="D9" s="18"/>
      <c r="E9" s="17"/>
      <c r="F9" s="18"/>
      <c r="G9" s="18"/>
      <c r="H9" s="17"/>
      <c r="I9" s="17"/>
      <c r="J9" s="17"/>
      <c r="N9"/>
      <c r="O9"/>
      <c r="P9"/>
    </row>
    <row r="10" spans="1:16">
      <c r="A10" s="17"/>
      <c r="B10" s="26" t="s">
        <v>14</v>
      </c>
      <c r="C10" s="211"/>
      <c r="D10" s="28"/>
      <c r="E10" s="28"/>
      <c r="F10" s="133"/>
      <c r="G10" s="133"/>
      <c r="H10" s="28"/>
      <c r="I10" s="28"/>
      <c r="J10" s="29"/>
      <c r="N10"/>
      <c r="O10"/>
      <c r="P10"/>
    </row>
    <row r="11" spans="1:16">
      <c r="A11" s="17"/>
      <c r="B11" s="30" t="s">
        <v>15</v>
      </c>
      <c r="C11" s="191"/>
      <c r="D11" s="15">
        <f>D7+D6</f>
        <v>1700</v>
      </c>
      <c r="E11" s="32" t="s">
        <v>7</v>
      </c>
      <c r="F11" s="31"/>
      <c r="G11" s="31"/>
      <c r="H11" s="33"/>
      <c r="I11" s="33"/>
      <c r="J11" s="34"/>
      <c r="N11"/>
      <c r="O11"/>
      <c r="P11"/>
    </row>
    <row r="12" spans="1:16">
      <c r="A12" s="17"/>
      <c r="B12" s="30" t="s">
        <v>16</v>
      </c>
      <c r="C12" s="191"/>
      <c r="D12" s="23">
        <f>ABS(M13)</f>
        <v>304</v>
      </c>
      <c r="E12" s="32" t="s">
        <v>7</v>
      </c>
      <c r="F12" s="32" t="s">
        <v>27</v>
      </c>
      <c r="G12" s="31"/>
      <c r="H12" s="33"/>
      <c r="I12" s="33"/>
      <c r="J12" s="34"/>
      <c r="N12"/>
      <c r="O12"/>
      <c r="P12"/>
    </row>
    <row r="13" spans="1:16" ht="13" customHeight="1">
      <c r="A13" s="24"/>
      <c r="B13" s="35"/>
      <c r="C13" s="212"/>
      <c r="D13" s="37"/>
      <c r="E13" s="1"/>
      <c r="F13" s="38" t="s">
        <v>34</v>
      </c>
      <c r="G13" s="39"/>
      <c r="H13" s="38"/>
      <c r="I13" s="38"/>
      <c r="J13" s="40"/>
      <c r="M13" s="408">
        <f>D3+E75-D11</f>
        <v>304</v>
      </c>
      <c r="N13"/>
      <c r="O13"/>
      <c r="P13"/>
    </row>
    <row r="14" spans="1:16" ht="8" customHeight="1">
      <c r="A14" s="24"/>
      <c r="B14" s="41"/>
      <c r="C14" s="191"/>
      <c r="D14" s="19"/>
      <c r="E14" s="42"/>
      <c r="F14" s="43"/>
      <c r="G14" s="43"/>
      <c r="H14" s="42"/>
      <c r="I14" s="42"/>
      <c r="J14" s="42"/>
      <c r="N14"/>
      <c r="O14"/>
      <c r="P14"/>
    </row>
    <row r="15" spans="1:16"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row>
    <row r="16" spans="1:16" ht="12" customHeight="1">
      <c r="A16" s="17"/>
      <c r="B16" s="22"/>
      <c r="C16" s="194"/>
      <c r="D16" s="22"/>
      <c r="E16" s="22"/>
      <c r="F16" s="134"/>
      <c r="G16" s="134"/>
      <c r="H16" s="22"/>
      <c r="I16" s="22"/>
      <c r="J16" s="22"/>
      <c r="K16" s="22"/>
      <c r="L16" s="244"/>
      <c r="N16"/>
      <c r="O16"/>
      <c r="P16"/>
    </row>
    <row r="17" spans="1:16" ht="17" customHeight="1">
      <c r="A17" s="60" t="s">
        <v>24</v>
      </c>
      <c r="B17" s="61"/>
      <c r="C17" s="213"/>
      <c r="D17" s="61"/>
      <c r="E17" s="62"/>
      <c r="F17" s="134"/>
      <c r="G17" s="141"/>
      <c r="H17" s="57" t="s">
        <v>36</v>
      </c>
      <c r="I17" s="58"/>
      <c r="J17" s="59"/>
      <c r="K17" s="22"/>
      <c r="L17" s="244"/>
      <c r="M17" s="269" t="s">
        <v>133</v>
      </c>
      <c r="N17" s="148"/>
      <c r="P17"/>
    </row>
    <row r="18" spans="1:16">
      <c r="A18" s="485" t="s">
        <v>11</v>
      </c>
      <c r="B18" s="483" t="s">
        <v>227</v>
      </c>
      <c r="C18" s="322"/>
      <c r="D18" s="481" t="s">
        <v>7</v>
      </c>
      <c r="E18" s="482"/>
      <c r="F18" s="18"/>
      <c r="G18" s="43"/>
      <c r="H18" s="487" t="str">
        <f>A18</f>
        <v>g/cl</v>
      </c>
      <c r="I18" s="489" t="str">
        <f>B18</f>
        <v>Ingrédients</v>
      </c>
      <c r="J18" s="70" t="s">
        <v>7</v>
      </c>
      <c r="M18" s="411">
        <f>100-(D12/((D11+D12)/100))</f>
        <v>84.830339321357286</v>
      </c>
      <c r="P18"/>
    </row>
    <row r="19" spans="1:16" ht="12" customHeight="1">
      <c r="A19" s="486"/>
      <c r="B19" s="484"/>
      <c r="C19" s="73"/>
      <c r="D19" s="72" t="s">
        <v>22</v>
      </c>
      <c r="E19" s="73" t="s">
        <v>23</v>
      </c>
      <c r="F19" s="18"/>
      <c r="G19" s="43"/>
      <c r="H19" s="488"/>
      <c r="I19" s="490"/>
      <c r="J19" s="71" t="s">
        <v>23</v>
      </c>
      <c r="M19" s="269"/>
      <c r="P19"/>
    </row>
    <row r="20" spans="1:16" ht="8" customHeight="1">
      <c r="A20" s="17"/>
      <c r="B20" s="16"/>
      <c r="C20" s="209"/>
      <c r="D20" s="17"/>
      <c r="E20" s="17"/>
      <c r="F20" s="18"/>
      <c r="G20" s="43"/>
      <c r="H20" s="17"/>
      <c r="I20" s="17"/>
      <c r="J20" s="17"/>
      <c r="L20" s="154"/>
      <c r="O20"/>
      <c r="P20"/>
    </row>
    <row r="21" spans="1:16">
      <c r="A21" s="216" t="s">
        <v>242</v>
      </c>
      <c r="B21" s="16"/>
      <c r="C21" s="209"/>
      <c r="D21" s="17"/>
      <c r="E21" s="17"/>
      <c r="F21" s="18"/>
      <c r="G21" s="43"/>
      <c r="H21" s="17"/>
      <c r="I21" s="17"/>
      <c r="J21" s="17"/>
      <c r="L21" s="154"/>
      <c r="O21"/>
      <c r="P21"/>
    </row>
    <row r="22" spans="1:16">
      <c r="A22" s="438">
        <v>30</v>
      </c>
      <c r="B22" s="2" t="s">
        <v>102</v>
      </c>
      <c r="C22" s="328" t="s">
        <v>673</v>
      </c>
      <c r="D22" s="51">
        <v>229</v>
      </c>
      <c r="E22" s="49">
        <f t="shared" ref="E22:E29" si="0">D22/100*A22</f>
        <v>68.7</v>
      </c>
      <c r="F22" s="18"/>
      <c r="G22" s="43"/>
      <c r="H22" s="55">
        <f t="shared" ref="H22:H29" si="1">IF(E22=0,A22,A22/E22*J22)</f>
        <v>25.449101796407184</v>
      </c>
      <c r="I22" s="2" t="str">
        <f t="shared" ref="I22:I29" si="2">B22</f>
        <v>pain complet</v>
      </c>
      <c r="J22" s="49">
        <f>E22*$M$18%</f>
        <v>58.278443113772454</v>
      </c>
      <c r="M22" s="411"/>
      <c r="P22"/>
    </row>
    <row r="23" spans="1:16">
      <c r="A23" s="438">
        <v>5</v>
      </c>
      <c r="B23" s="2" t="s">
        <v>0</v>
      </c>
      <c r="C23" s="186" t="s">
        <v>674</v>
      </c>
      <c r="D23" s="51">
        <v>747.3</v>
      </c>
      <c r="E23" s="49">
        <f t="shared" si="0"/>
        <v>37.365000000000002</v>
      </c>
      <c r="F23" s="18"/>
      <c r="G23" s="43"/>
      <c r="H23" s="55">
        <f t="shared" si="1"/>
        <v>4.2415169660678647</v>
      </c>
      <c r="I23" s="2" t="str">
        <f t="shared" si="2"/>
        <v>beurre</v>
      </c>
      <c r="J23" s="49">
        <f t="shared" ref="J23:J29" si="3">E23*$M$18%</f>
        <v>31.696856287425152</v>
      </c>
      <c r="P23"/>
    </row>
    <row r="24" spans="1:16">
      <c r="A24" s="438">
        <v>10</v>
      </c>
      <c r="B24" s="2" t="s">
        <v>3</v>
      </c>
      <c r="C24" s="186" t="s">
        <v>674</v>
      </c>
      <c r="D24" s="51">
        <v>246</v>
      </c>
      <c r="E24" s="49">
        <f t="shared" si="0"/>
        <v>24.6</v>
      </c>
      <c r="F24" s="18"/>
      <c r="G24" s="43"/>
      <c r="H24" s="55">
        <f t="shared" si="1"/>
        <v>8.4830339321357293</v>
      </c>
      <c r="I24" s="2" t="str">
        <f t="shared" si="2"/>
        <v>confiture</v>
      </c>
      <c r="J24" s="49">
        <f t="shared" si="3"/>
        <v>20.868263473053894</v>
      </c>
      <c r="N24" s="45"/>
      <c r="P24"/>
    </row>
    <row r="25" spans="1:16">
      <c r="A25" s="438">
        <v>150</v>
      </c>
      <c r="B25" s="2" t="s">
        <v>1</v>
      </c>
      <c r="C25" s="218"/>
      <c r="D25" s="51">
        <v>0</v>
      </c>
      <c r="E25" s="49">
        <f t="shared" si="0"/>
        <v>0</v>
      </c>
      <c r="F25" s="18"/>
      <c r="G25" s="43"/>
      <c r="H25" s="55">
        <f t="shared" si="1"/>
        <v>150</v>
      </c>
      <c r="I25" s="2" t="str">
        <f t="shared" si="2"/>
        <v>café</v>
      </c>
      <c r="J25" s="49">
        <f t="shared" si="3"/>
        <v>0</v>
      </c>
      <c r="N25" s="45"/>
      <c r="P25"/>
    </row>
    <row r="26" spans="1:16">
      <c r="A26" s="438">
        <v>4</v>
      </c>
      <c r="B26" s="2" t="s">
        <v>2</v>
      </c>
      <c r="C26" s="186" t="s">
        <v>674</v>
      </c>
      <c r="D26" s="51">
        <v>400</v>
      </c>
      <c r="E26" s="49">
        <f t="shared" si="0"/>
        <v>16</v>
      </c>
      <c r="F26" s="18"/>
      <c r="G26" s="43"/>
      <c r="H26" s="55">
        <f t="shared" si="1"/>
        <v>3.3932135728542914</v>
      </c>
      <c r="I26" s="2" t="str">
        <f t="shared" si="2"/>
        <v>sucre</v>
      </c>
      <c r="J26" s="49">
        <f t="shared" si="3"/>
        <v>13.572854291417165</v>
      </c>
      <c r="N26" s="45"/>
      <c r="P26"/>
    </row>
    <row r="27" spans="1:16">
      <c r="A27" s="438">
        <v>12</v>
      </c>
      <c r="B27" s="2" t="s">
        <v>5</v>
      </c>
      <c r="C27" s="328" t="s">
        <v>673</v>
      </c>
      <c r="D27" s="51">
        <v>161</v>
      </c>
      <c r="E27" s="49">
        <f t="shared" si="0"/>
        <v>19.32</v>
      </c>
      <c r="F27" s="18"/>
      <c r="G27" s="43"/>
      <c r="H27" s="55">
        <f t="shared" si="1"/>
        <v>10.179640718562872</v>
      </c>
      <c r="I27" s="2" t="str">
        <f t="shared" si="2"/>
        <v>crème à café</v>
      </c>
      <c r="J27" s="49">
        <f t="shared" si="3"/>
        <v>16.389221556886227</v>
      </c>
      <c r="N27" s="45"/>
      <c r="P27"/>
    </row>
    <row r="28" spans="1:16">
      <c r="A28" s="438">
        <v>125</v>
      </c>
      <c r="B28" s="2" t="s">
        <v>123</v>
      </c>
      <c r="C28" s="183" t="s">
        <v>675</v>
      </c>
      <c r="D28" s="51">
        <v>87</v>
      </c>
      <c r="E28" s="49">
        <f t="shared" si="0"/>
        <v>108.75</v>
      </c>
      <c r="F28" s="18"/>
      <c r="G28" s="43"/>
      <c r="H28" s="55">
        <f t="shared" si="1"/>
        <v>106.0379241516966</v>
      </c>
      <c r="I28" s="2" t="str">
        <f t="shared" si="2"/>
        <v>yogourt aux fruits</v>
      </c>
      <c r="J28" s="49">
        <f t="shared" si="3"/>
        <v>92.252994011976043</v>
      </c>
      <c r="N28" s="45"/>
      <c r="P28"/>
    </row>
    <row r="29" spans="1:16">
      <c r="A29" s="438">
        <v>150</v>
      </c>
      <c r="B29" s="2" t="s">
        <v>103</v>
      </c>
      <c r="C29" s="183" t="s">
        <v>675</v>
      </c>
      <c r="D29" s="51">
        <v>45</v>
      </c>
      <c r="E29" s="49">
        <f t="shared" si="0"/>
        <v>67.5</v>
      </c>
      <c r="F29" s="68"/>
      <c r="G29" s="128"/>
      <c r="H29" s="55">
        <f t="shared" si="1"/>
        <v>127.24550898203594</v>
      </c>
      <c r="I29" s="2" t="str">
        <f t="shared" si="2"/>
        <v>jus d'orange maison</v>
      </c>
      <c r="J29" s="49">
        <f t="shared" si="3"/>
        <v>57.26047904191617</v>
      </c>
      <c r="K29" s="275"/>
      <c r="N29" s="45"/>
      <c r="P29"/>
    </row>
    <row r="30" spans="1:16">
      <c r="A30" s="42"/>
      <c r="B30" s="131"/>
      <c r="C30" s="201"/>
      <c r="E30" s="130" t="s">
        <v>6</v>
      </c>
      <c r="F30" s="175">
        <f>SUM(E22:E29)</f>
        <v>342.23500000000001</v>
      </c>
      <c r="G30" s="128"/>
      <c r="H30" s="42"/>
      <c r="I30" s="131"/>
      <c r="J30" s="130" t="s">
        <v>6</v>
      </c>
      <c r="K30" s="336">
        <f>SUM(J22:J29)</f>
        <v>290.31911177644713</v>
      </c>
      <c r="L30" s="154"/>
      <c r="N30" s="45"/>
      <c r="P30"/>
    </row>
    <row r="31" spans="1:16">
      <c r="A31" s="216" t="s">
        <v>225</v>
      </c>
      <c r="B31" s="16"/>
      <c r="C31" s="209"/>
      <c r="D31" s="17"/>
      <c r="E31" s="17"/>
      <c r="F31" s="18"/>
      <c r="G31" s="43"/>
      <c r="H31" s="17"/>
      <c r="I31" s="17"/>
      <c r="J31" s="17"/>
      <c r="L31" s="154"/>
      <c r="O31"/>
      <c r="P31"/>
    </row>
    <row r="32" spans="1:16">
      <c r="A32" s="256" t="s">
        <v>316</v>
      </c>
      <c r="B32" s="257"/>
      <c r="C32" s="323"/>
      <c r="D32" s="257"/>
      <c r="E32" s="257"/>
      <c r="F32" s="257"/>
      <c r="G32" s="257"/>
      <c r="H32" s="257"/>
      <c r="I32" s="257"/>
      <c r="J32" s="258"/>
      <c r="N32" s="45"/>
      <c r="P32"/>
    </row>
    <row r="33" spans="1:16">
      <c r="A33" s="439">
        <v>100</v>
      </c>
      <c r="B33" s="2" t="s">
        <v>669</v>
      </c>
      <c r="C33" s="185" t="s">
        <v>676</v>
      </c>
      <c r="D33" s="253">
        <v>17</v>
      </c>
      <c r="E33" s="254">
        <f t="shared" ref="E33:E45" si="4">D33/100*A33</f>
        <v>17</v>
      </c>
      <c r="F33" s="18"/>
      <c r="G33" s="43"/>
      <c r="H33" s="255">
        <f t="shared" ref="H33:H45" si="5">IF(E33=0,A33,A33/E33*J33)</f>
        <v>84.830339321357286</v>
      </c>
      <c r="I33" s="251" t="str">
        <f t="shared" ref="I33:I45" si="6">B33</f>
        <v>aubergines</v>
      </c>
      <c r="J33" s="254">
        <f t="shared" ref="J33:J45" si="7">E33*$M$18%</f>
        <v>14.421157684630739</v>
      </c>
      <c r="N33" s="45"/>
      <c r="P33"/>
    </row>
    <row r="34" spans="1:16">
      <c r="A34" s="438">
        <v>2</v>
      </c>
      <c r="B34" s="2" t="s">
        <v>108</v>
      </c>
      <c r="C34" s="186" t="s">
        <v>674</v>
      </c>
      <c r="D34" s="51">
        <v>899</v>
      </c>
      <c r="E34" s="254">
        <f t="shared" si="4"/>
        <v>17.98</v>
      </c>
      <c r="F34" s="68"/>
      <c r="G34" s="128"/>
      <c r="H34" s="255">
        <f t="shared" si="5"/>
        <v>1.6966067864271455</v>
      </c>
      <c r="I34" s="251" t="str">
        <f t="shared" si="6"/>
        <v>huile d'olive</v>
      </c>
      <c r="J34" s="254">
        <f t="shared" si="7"/>
        <v>15.25249500998004</v>
      </c>
      <c r="N34" s="45"/>
      <c r="P34"/>
    </row>
    <row r="35" spans="1:16">
      <c r="A35" s="438">
        <v>70</v>
      </c>
      <c r="B35" s="2" t="s">
        <v>722</v>
      </c>
      <c r="C35" s="185" t="s">
        <v>676</v>
      </c>
      <c r="D35" s="51">
        <v>34</v>
      </c>
      <c r="E35" s="254">
        <f t="shared" si="4"/>
        <v>23.8</v>
      </c>
      <c r="F35" s="68"/>
      <c r="G35" s="128"/>
      <c r="H35" s="255">
        <f t="shared" si="5"/>
        <v>59.381237524950095</v>
      </c>
      <c r="I35" s="251" t="str">
        <f t="shared" si="6"/>
        <v xml:space="preserve"> tomates concasséesen boîte</v>
      </c>
      <c r="J35" s="254">
        <f t="shared" si="7"/>
        <v>20.189620758483034</v>
      </c>
      <c r="N35" s="45"/>
      <c r="O35"/>
      <c r="P35"/>
    </row>
    <row r="36" spans="1:16">
      <c r="A36" s="438">
        <v>3</v>
      </c>
      <c r="B36" s="2" t="s">
        <v>561</v>
      </c>
      <c r="C36" s="185" t="s">
        <v>676</v>
      </c>
      <c r="D36" s="51">
        <v>131</v>
      </c>
      <c r="E36" s="254">
        <f t="shared" si="4"/>
        <v>3.93</v>
      </c>
      <c r="F36" s="68"/>
      <c r="G36" s="128"/>
      <c r="H36" s="255">
        <f t="shared" si="5"/>
        <v>2.5449101796407185</v>
      </c>
      <c r="I36" s="251" t="str">
        <f t="shared" si="6"/>
        <v>ail</v>
      </c>
      <c r="J36" s="254">
        <f t="shared" si="7"/>
        <v>3.3338323353293413</v>
      </c>
      <c r="N36" s="45"/>
      <c r="O36"/>
      <c r="P36"/>
    </row>
    <row r="37" spans="1:16">
      <c r="A37" s="438">
        <v>125</v>
      </c>
      <c r="B37" s="2" t="s">
        <v>417</v>
      </c>
      <c r="C37" s="186" t="s">
        <v>674</v>
      </c>
      <c r="D37" s="51">
        <v>252</v>
      </c>
      <c r="E37" s="254">
        <f t="shared" si="4"/>
        <v>315</v>
      </c>
      <c r="F37" s="68"/>
      <c r="G37" s="128"/>
      <c r="H37" s="255">
        <f t="shared" si="5"/>
        <v>106.0379241516966</v>
      </c>
      <c r="I37" s="251" t="str">
        <f t="shared" si="6"/>
        <v xml:space="preserve">crème </v>
      </c>
      <c r="J37" s="254">
        <f t="shared" si="7"/>
        <v>267.21556886227546</v>
      </c>
      <c r="N37" s="45"/>
      <c r="O37"/>
      <c r="P37"/>
    </row>
    <row r="38" spans="1:16">
      <c r="A38" s="438">
        <v>100</v>
      </c>
      <c r="B38" s="2" t="s">
        <v>671</v>
      </c>
      <c r="C38" s="183" t="s">
        <v>675</v>
      </c>
      <c r="D38" s="51">
        <v>116</v>
      </c>
      <c r="E38" s="254">
        <f t="shared" si="4"/>
        <v>115.99999999999999</v>
      </c>
      <c r="F38" s="68"/>
      <c r="G38" s="128"/>
      <c r="H38" s="255">
        <f t="shared" si="5"/>
        <v>84.830339321357286</v>
      </c>
      <c r="I38" s="251" t="str">
        <f t="shared" si="6"/>
        <v>spaghetti</v>
      </c>
      <c r="J38" s="254">
        <f t="shared" si="7"/>
        <v>98.403193612774444</v>
      </c>
      <c r="N38" s="45"/>
      <c r="O38"/>
      <c r="P38"/>
    </row>
    <row r="39" spans="1:16">
      <c r="A39" s="438">
        <v>150</v>
      </c>
      <c r="B39" s="2" t="s">
        <v>141</v>
      </c>
      <c r="C39" s="185" t="s">
        <v>676</v>
      </c>
      <c r="D39" s="51">
        <v>30</v>
      </c>
      <c r="E39" s="254">
        <f t="shared" si="4"/>
        <v>45</v>
      </c>
      <c r="F39" s="68"/>
      <c r="G39" s="128"/>
      <c r="H39" s="255">
        <f t="shared" si="5"/>
        <v>127.24550898203594</v>
      </c>
      <c r="I39" s="251" t="str">
        <f t="shared" si="6"/>
        <v>carottes</v>
      </c>
      <c r="J39" s="254">
        <f t="shared" si="7"/>
        <v>38.17365269461078</v>
      </c>
      <c r="N39" s="45"/>
      <c r="O39"/>
      <c r="P39"/>
    </row>
    <row r="40" spans="1:16">
      <c r="A40" s="438">
        <v>180</v>
      </c>
      <c r="B40" s="2" t="s">
        <v>723</v>
      </c>
      <c r="C40" s="185" t="s">
        <v>676</v>
      </c>
      <c r="D40" s="51">
        <v>23</v>
      </c>
      <c r="E40" s="254">
        <f t="shared" si="4"/>
        <v>41.4</v>
      </c>
      <c r="F40" s="68"/>
      <c r="G40" s="128"/>
      <c r="H40" s="255">
        <f t="shared" si="5"/>
        <v>152.69461077844309</v>
      </c>
      <c r="I40" s="251" t="str">
        <f t="shared" si="6"/>
        <v>chou rouge</v>
      </c>
      <c r="J40" s="254">
        <f t="shared" si="7"/>
        <v>35.119760479041915</v>
      </c>
      <c r="N40" s="45"/>
      <c r="O40"/>
      <c r="P40"/>
    </row>
    <row r="41" spans="1:16">
      <c r="A41" s="438"/>
      <c r="B41" s="2" t="s">
        <v>724</v>
      </c>
      <c r="C41" s="218"/>
      <c r="D41" s="51"/>
      <c r="E41" s="254">
        <f t="shared" si="4"/>
        <v>0</v>
      </c>
      <c r="F41" s="68"/>
      <c r="G41" s="128"/>
      <c r="H41" s="255">
        <f t="shared" si="5"/>
        <v>0</v>
      </c>
      <c r="I41" s="251" t="str">
        <f t="shared" si="6"/>
        <v>estragon</v>
      </c>
      <c r="J41" s="254">
        <f t="shared" si="7"/>
        <v>0</v>
      </c>
      <c r="N41" s="45"/>
      <c r="O41"/>
      <c r="P41"/>
    </row>
    <row r="42" spans="1:16">
      <c r="A42" s="438">
        <f>140/4</f>
        <v>35</v>
      </c>
      <c r="B42" s="2" t="s">
        <v>725</v>
      </c>
      <c r="C42" s="185" t="s">
        <v>676</v>
      </c>
      <c r="D42" s="51">
        <v>40</v>
      </c>
      <c r="E42" s="254">
        <f t="shared" si="4"/>
        <v>14</v>
      </c>
      <c r="F42" s="68"/>
      <c r="G42" s="128"/>
      <c r="H42" s="255">
        <f t="shared" si="5"/>
        <v>29.690618762475047</v>
      </c>
      <c r="I42" s="251" t="str">
        <f t="shared" si="6"/>
        <v>orange sanguine</v>
      </c>
      <c r="J42" s="254">
        <f t="shared" si="7"/>
        <v>11.876247504990019</v>
      </c>
      <c r="N42" s="45"/>
      <c r="P42"/>
    </row>
    <row r="43" spans="1:16">
      <c r="A43" s="438">
        <v>12</v>
      </c>
      <c r="B43" s="2" t="s">
        <v>308</v>
      </c>
      <c r="C43" s="186" t="s">
        <v>674</v>
      </c>
      <c r="D43" s="51">
        <v>472</v>
      </c>
      <c r="E43" s="49">
        <f>D43/100*A43</f>
        <v>56.64</v>
      </c>
      <c r="F43" s="68"/>
      <c r="G43" s="128"/>
      <c r="H43" s="55">
        <f>IF(E43=0,A43,A43/E43*J43)</f>
        <v>10.179640718562874</v>
      </c>
      <c r="I43" s="2" t="str">
        <f>B43</f>
        <v>sauce à salade italienne</v>
      </c>
      <c r="J43" s="49">
        <f>E43*$M$18%</f>
        <v>48.047904191616766</v>
      </c>
      <c r="N43" s="45"/>
      <c r="O43"/>
      <c r="P43"/>
    </row>
    <row r="44" spans="1:16">
      <c r="A44" s="438">
        <v>0.75</v>
      </c>
      <c r="B44" s="2" t="s">
        <v>109</v>
      </c>
      <c r="C44" s="186" t="s">
        <v>674</v>
      </c>
      <c r="D44" s="51">
        <v>0</v>
      </c>
      <c r="E44" s="254">
        <f t="shared" si="4"/>
        <v>0</v>
      </c>
      <c r="F44" s="68"/>
      <c r="G44" s="128"/>
      <c r="H44" s="255">
        <f t="shared" si="5"/>
        <v>0.75</v>
      </c>
      <c r="I44" s="251" t="str">
        <f t="shared" si="6"/>
        <v>sel</v>
      </c>
      <c r="J44" s="254">
        <f t="shared" si="7"/>
        <v>0</v>
      </c>
      <c r="N44" s="45"/>
      <c r="P44"/>
    </row>
    <row r="45" spans="1:16">
      <c r="A45" s="438">
        <v>0.25</v>
      </c>
      <c r="B45" s="2" t="s">
        <v>116</v>
      </c>
      <c r="C45" s="183" t="s">
        <v>675</v>
      </c>
      <c r="D45" s="51">
        <v>222</v>
      </c>
      <c r="E45" s="49">
        <f t="shared" si="4"/>
        <v>0.55500000000000005</v>
      </c>
      <c r="F45" s="68"/>
      <c r="G45" s="128"/>
      <c r="H45" s="255">
        <f t="shared" si="5"/>
        <v>0.21207584830339321</v>
      </c>
      <c r="I45" s="2" t="str">
        <f t="shared" si="6"/>
        <v>poivre</v>
      </c>
      <c r="J45" s="49">
        <f t="shared" si="7"/>
        <v>0.47080838323353297</v>
      </c>
      <c r="N45" s="45"/>
      <c r="P45"/>
    </row>
    <row r="46" spans="1:16">
      <c r="A46" s="42"/>
      <c r="B46" s="131"/>
      <c r="C46" s="201"/>
      <c r="E46" s="130" t="s">
        <v>6</v>
      </c>
      <c r="F46" s="138">
        <f>SUM(E33:E45)</f>
        <v>651.30499999999995</v>
      </c>
      <c r="G46" s="128"/>
      <c r="H46" s="42"/>
      <c r="I46" s="131"/>
      <c r="J46" s="130" t="s">
        <v>6</v>
      </c>
      <c r="K46" s="336">
        <f>SUM(J33:J45)</f>
        <v>552.50424151696609</v>
      </c>
      <c r="N46" s="45"/>
      <c r="P46"/>
    </row>
    <row r="47" spans="1:16" ht="6" customHeight="1">
      <c r="A47" s="17"/>
      <c r="B47" s="17"/>
      <c r="C47" s="209"/>
      <c r="D47" s="68"/>
      <c r="E47" s="17"/>
      <c r="F47" s="18"/>
      <c r="G47" s="43"/>
      <c r="H47" s="17"/>
      <c r="I47" s="17"/>
      <c r="J47" s="17"/>
      <c r="N47" s="45"/>
      <c r="O47"/>
      <c r="P47"/>
    </row>
    <row r="48" spans="1:16">
      <c r="A48" s="216" t="s">
        <v>228</v>
      </c>
      <c r="B48" s="16"/>
      <c r="C48" s="209"/>
      <c r="D48" s="17"/>
      <c r="E48" s="17"/>
      <c r="F48" s="18"/>
      <c r="G48" s="43"/>
      <c r="H48" s="17"/>
      <c r="I48" s="17"/>
      <c r="J48" s="17"/>
      <c r="O48"/>
      <c r="P48"/>
    </row>
    <row r="49" spans="1:16">
      <c r="A49" s="438">
        <v>50</v>
      </c>
      <c r="B49" s="2" t="s">
        <v>128</v>
      </c>
      <c r="C49" s="186" t="s">
        <v>674</v>
      </c>
      <c r="D49" s="51">
        <v>502</v>
      </c>
      <c r="E49" s="49">
        <f>D49/100*A49</f>
        <v>250.99999999999997</v>
      </c>
      <c r="G49" s="43"/>
      <c r="H49" s="55">
        <f>IF(E49=0,A49,A49/E49*J49)</f>
        <v>42.415169660678643</v>
      </c>
      <c r="I49" s="2" t="str">
        <f>B49</f>
        <v>cookie aux pépites chocolat</v>
      </c>
      <c r="J49" s="49">
        <f>E49*$M$18%</f>
        <v>212.92415169660677</v>
      </c>
    </row>
    <row r="50" spans="1:16">
      <c r="A50" s="42"/>
      <c r="B50" s="131"/>
      <c r="C50" s="201"/>
      <c r="E50" s="130" t="s">
        <v>6</v>
      </c>
      <c r="F50" s="329">
        <f>SUM(E49:E49)</f>
        <v>250.99999999999997</v>
      </c>
      <c r="G50" s="140"/>
      <c r="H50" s="42"/>
      <c r="I50" s="131"/>
      <c r="J50" s="130" t="s">
        <v>6</v>
      </c>
      <c r="K50" s="336">
        <f>SUM(J49:J49)</f>
        <v>212.92415169660677</v>
      </c>
      <c r="L50" s="154"/>
      <c r="N50" s="45"/>
      <c r="P50"/>
    </row>
    <row r="51" spans="1:16">
      <c r="A51" s="216" t="s">
        <v>226</v>
      </c>
      <c r="B51" s="16"/>
      <c r="C51" s="209"/>
      <c r="D51" s="17"/>
      <c r="E51" s="17"/>
      <c r="F51" s="18"/>
      <c r="G51" s="43"/>
      <c r="H51" s="17"/>
      <c r="I51" s="17"/>
      <c r="J51" s="17"/>
      <c r="O51"/>
      <c r="P51"/>
    </row>
    <row r="52" spans="1:16">
      <c r="A52" s="256" t="s">
        <v>318</v>
      </c>
      <c r="B52" s="257"/>
      <c r="C52" s="323"/>
      <c r="D52" s="257"/>
      <c r="E52" s="257"/>
      <c r="F52" s="257"/>
      <c r="G52" s="257"/>
      <c r="H52" s="257"/>
      <c r="I52" s="257"/>
      <c r="J52" s="258"/>
      <c r="N52" s="45"/>
      <c r="P52"/>
    </row>
    <row r="53" spans="1:16">
      <c r="A53" s="438">
        <v>150</v>
      </c>
      <c r="B53" s="2" t="s">
        <v>726</v>
      </c>
      <c r="C53" s="328" t="s">
        <v>673</v>
      </c>
      <c r="D53" s="51">
        <v>184</v>
      </c>
      <c r="E53" s="49">
        <f t="shared" ref="E53:E67" si="8">D53/100*A53</f>
        <v>276</v>
      </c>
      <c r="F53" s="68"/>
      <c r="G53" s="128"/>
      <c r="H53" s="55">
        <f t="shared" ref="H53:H67" si="9">IF(E53=0,A53,A53/E53*J53)</f>
        <v>127.24550898203591</v>
      </c>
      <c r="I53" s="2" t="str">
        <f t="shared" ref="I53:I66" si="10">B53</f>
        <v>cuisses de poulet (chair)</v>
      </c>
      <c r="J53" s="49">
        <f t="shared" ref="J53:J75" si="11">E53*$M$18%</f>
        <v>234.1317365269461</v>
      </c>
      <c r="M53" s="412"/>
      <c r="N53" s="45"/>
      <c r="O53"/>
      <c r="P53"/>
    </row>
    <row r="54" spans="1:16">
      <c r="A54" s="438">
        <v>15</v>
      </c>
      <c r="B54" s="2" t="s">
        <v>630</v>
      </c>
      <c r="C54" s="185" t="s">
        <v>676</v>
      </c>
      <c r="D54" s="51">
        <v>35</v>
      </c>
      <c r="E54" s="49">
        <f t="shared" si="8"/>
        <v>5.25</v>
      </c>
      <c r="F54" s="68"/>
      <c r="G54" s="128"/>
      <c r="H54" s="55">
        <f t="shared" si="9"/>
        <v>12.724550898203592</v>
      </c>
      <c r="I54" s="2" t="str">
        <f t="shared" si="10"/>
        <v>échalotes</v>
      </c>
      <c r="J54" s="49">
        <f t="shared" si="11"/>
        <v>4.4535928143712571</v>
      </c>
      <c r="L54" s="154"/>
      <c r="M54" s="412"/>
      <c r="N54" s="45"/>
      <c r="O54"/>
      <c r="P54"/>
    </row>
    <row r="55" spans="1:16">
      <c r="A55" s="438">
        <v>6</v>
      </c>
      <c r="B55" s="2" t="s">
        <v>118</v>
      </c>
      <c r="C55" s="328" t="s">
        <v>673</v>
      </c>
      <c r="D55" s="51">
        <v>338</v>
      </c>
      <c r="E55" s="49">
        <f>D55/100*A55</f>
        <v>20.28</v>
      </c>
      <c r="F55" s="68"/>
      <c r="G55" s="128"/>
      <c r="H55" s="55">
        <f>IF(E55=0,A55,A55/E55*J55)</f>
        <v>5.0898203592814371</v>
      </c>
      <c r="I55" s="2" t="str">
        <f>B55</f>
        <v>farine</v>
      </c>
      <c r="J55" s="49">
        <f>E55*$M$18%</f>
        <v>17.203592814371259</v>
      </c>
      <c r="L55" s="154"/>
      <c r="M55" s="412"/>
      <c r="N55" s="45"/>
      <c r="O55"/>
      <c r="P55"/>
    </row>
    <row r="56" spans="1:16">
      <c r="A56" s="438">
        <v>75</v>
      </c>
      <c r="B56" s="2" t="s">
        <v>355</v>
      </c>
      <c r="C56" s="185" t="s">
        <v>676</v>
      </c>
      <c r="D56" s="51">
        <v>25</v>
      </c>
      <c r="E56" s="49">
        <f>D56/100*A56</f>
        <v>18.75</v>
      </c>
      <c r="F56" s="68"/>
      <c r="G56" s="128"/>
      <c r="H56" s="55">
        <f t="shared" si="9"/>
        <v>63.622754491017965</v>
      </c>
      <c r="I56" s="2" t="str">
        <f t="shared" si="10"/>
        <v>champignons de Paris</v>
      </c>
      <c r="J56" s="49">
        <f t="shared" si="11"/>
        <v>15.905688622754491</v>
      </c>
      <c r="M56" s="412"/>
      <c r="N56" s="45"/>
      <c r="O56"/>
      <c r="P56"/>
    </row>
    <row r="57" spans="1:16">
      <c r="A57" s="438">
        <v>75</v>
      </c>
      <c r="B57" s="2" t="s">
        <v>240</v>
      </c>
      <c r="C57" s="185" t="s">
        <v>676</v>
      </c>
      <c r="D57" s="51">
        <v>19</v>
      </c>
      <c r="E57" s="49">
        <f t="shared" si="8"/>
        <v>14.25</v>
      </c>
      <c r="F57" s="68"/>
      <c r="G57" s="128"/>
      <c r="H57" s="55">
        <f t="shared" si="9"/>
        <v>63.622754491017972</v>
      </c>
      <c r="I57" s="2" t="str">
        <f t="shared" si="10"/>
        <v>tomates</v>
      </c>
      <c r="J57" s="49">
        <f t="shared" si="11"/>
        <v>12.088323353293413</v>
      </c>
      <c r="M57" s="412"/>
      <c r="N57" s="45"/>
      <c r="O57"/>
      <c r="P57"/>
    </row>
    <row r="58" spans="1:16">
      <c r="A58" s="438"/>
      <c r="B58" s="2" t="s">
        <v>727</v>
      </c>
      <c r="C58" s="218"/>
      <c r="D58" s="51"/>
      <c r="E58" s="49">
        <f t="shared" si="8"/>
        <v>0</v>
      </c>
      <c r="F58" s="68"/>
      <c r="G58" s="128"/>
      <c r="H58" s="55">
        <f t="shared" si="9"/>
        <v>0</v>
      </c>
      <c r="I58" s="2" t="str">
        <f t="shared" si="10"/>
        <v>bouquet garni</v>
      </c>
      <c r="J58" s="49">
        <f t="shared" si="11"/>
        <v>0</v>
      </c>
      <c r="M58" s="412"/>
      <c r="N58" s="45"/>
      <c r="O58"/>
      <c r="P58"/>
    </row>
    <row r="59" spans="1:16">
      <c r="A59" s="438"/>
      <c r="B59" s="2" t="s">
        <v>317</v>
      </c>
      <c r="C59" s="218"/>
      <c r="D59" s="51"/>
      <c r="E59" s="49">
        <f t="shared" si="8"/>
        <v>0</v>
      </c>
      <c r="F59" s="68"/>
      <c r="G59" s="128"/>
      <c r="H59" s="55">
        <f t="shared" si="9"/>
        <v>0</v>
      </c>
      <c r="I59" s="2" t="str">
        <f t="shared" si="10"/>
        <v>vin blanc</v>
      </c>
      <c r="J59" s="49">
        <f t="shared" si="11"/>
        <v>0</v>
      </c>
      <c r="M59" s="412"/>
      <c r="N59" s="45"/>
      <c r="O59"/>
      <c r="P59"/>
    </row>
    <row r="60" spans="1:16">
      <c r="A60" s="438">
        <v>12.5</v>
      </c>
      <c r="B60" s="2" t="s">
        <v>191</v>
      </c>
      <c r="C60" s="185" t="s">
        <v>676</v>
      </c>
      <c r="D60" s="51">
        <v>28</v>
      </c>
      <c r="E60" s="49">
        <f t="shared" si="8"/>
        <v>3.5000000000000004</v>
      </c>
      <c r="F60" s="68"/>
      <c r="G60" s="128"/>
      <c r="H60" s="55">
        <f t="shared" si="9"/>
        <v>10.603792415169661</v>
      </c>
      <c r="I60" s="2" t="str">
        <f t="shared" si="10"/>
        <v>persil plat</v>
      </c>
      <c r="J60" s="49">
        <f t="shared" si="11"/>
        <v>2.9690618762475052</v>
      </c>
      <c r="M60" s="412"/>
      <c r="N60" s="45"/>
      <c r="O60"/>
      <c r="P60"/>
    </row>
    <row r="61" spans="1:16">
      <c r="A61" s="438">
        <v>150</v>
      </c>
      <c r="B61" s="2" t="s">
        <v>189</v>
      </c>
      <c r="C61" s="185" t="s">
        <v>676</v>
      </c>
      <c r="D61" s="51">
        <v>76</v>
      </c>
      <c r="E61" s="49">
        <f t="shared" si="8"/>
        <v>114</v>
      </c>
      <c r="F61" s="68"/>
      <c r="G61" s="128"/>
      <c r="H61" s="55">
        <f t="shared" si="9"/>
        <v>127.24550898203594</v>
      </c>
      <c r="I61" s="2" t="str">
        <f t="shared" si="10"/>
        <v>pommes de terre</v>
      </c>
      <c r="J61" s="49">
        <f t="shared" si="11"/>
        <v>96.706586826347305</v>
      </c>
      <c r="M61" s="412"/>
      <c r="N61" s="45"/>
      <c r="O61"/>
      <c r="P61"/>
    </row>
    <row r="62" spans="1:16">
      <c r="A62" s="438">
        <v>100</v>
      </c>
      <c r="B62" s="2" t="s">
        <v>153</v>
      </c>
      <c r="C62" s="185" t="s">
        <v>676</v>
      </c>
      <c r="D62" s="51">
        <v>10</v>
      </c>
      <c r="E62" s="49">
        <f t="shared" si="8"/>
        <v>10</v>
      </c>
      <c r="F62" s="68"/>
      <c r="G62" s="128"/>
      <c r="H62" s="55">
        <f t="shared" si="9"/>
        <v>84.830339321357286</v>
      </c>
      <c r="I62" s="2" t="str">
        <f t="shared" si="10"/>
        <v>endives</v>
      </c>
      <c r="J62" s="49">
        <f t="shared" si="11"/>
        <v>8.4830339321357293</v>
      </c>
      <c r="M62" s="412"/>
      <c r="N62" s="45"/>
      <c r="O62"/>
      <c r="P62"/>
    </row>
    <row r="63" spans="1:16">
      <c r="A63" s="438">
        <f>45/2</f>
        <v>22.5</v>
      </c>
      <c r="B63" s="2" t="s">
        <v>204</v>
      </c>
      <c r="C63" s="185" t="s">
        <v>676</v>
      </c>
      <c r="D63" s="51">
        <v>17</v>
      </c>
      <c r="E63" s="49">
        <f t="shared" si="8"/>
        <v>3.8250000000000002</v>
      </c>
      <c r="F63" s="68"/>
      <c r="G63" s="128"/>
      <c r="H63" s="55">
        <f t="shared" si="9"/>
        <v>19.086826347305387</v>
      </c>
      <c r="I63" s="2" t="str">
        <f t="shared" si="10"/>
        <v>citron</v>
      </c>
      <c r="J63" s="49">
        <f t="shared" si="11"/>
        <v>3.2447604790419162</v>
      </c>
      <c r="M63" s="412"/>
      <c r="N63" s="45"/>
      <c r="O63"/>
      <c r="P63"/>
    </row>
    <row r="64" spans="1:16">
      <c r="A64" s="438">
        <v>6</v>
      </c>
      <c r="B64" s="2" t="s">
        <v>198</v>
      </c>
      <c r="C64" s="184" t="s">
        <v>677</v>
      </c>
      <c r="D64" s="51">
        <v>58</v>
      </c>
      <c r="E64" s="49">
        <f t="shared" si="8"/>
        <v>3.4799999999999995</v>
      </c>
      <c r="F64" s="68"/>
      <c r="G64" s="128"/>
      <c r="H64" s="55">
        <f t="shared" si="9"/>
        <v>5.0898203592814371</v>
      </c>
      <c r="I64" s="2" t="str">
        <f t="shared" si="10"/>
        <v>sauce soja</v>
      </c>
      <c r="J64" s="49">
        <f t="shared" si="11"/>
        <v>2.9520958083832332</v>
      </c>
      <c r="M64" s="412"/>
      <c r="N64" s="45"/>
      <c r="O64"/>
      <c r="P64"/>
    </row>
    <row r="65" spans="1:16">
      <c r="A65" s="438">
        <v>4.25</v>
      </c>
      <c r="B65" s="2" t="s">
        <v>108</v>
      </c>
      <c r="C65" s="186" t="s">
        <v>674</v>
      </c>
      <c r="D65" s="51">
        <v>899</v>
      </c>
      <c r="E65" s="49">
        <f t="shared" si="8"/>
        <v>38.207500000000003</v>
      </c>
      <c r="F65" s="68"/>
      <c r="G65" s="128"/>
      <c r="H65" s="55">
        <f t="shared" si="9"/>
        <v>3.6052894211576842</v>
      </c>
      <c r="I65" s="2" t="str">
        <f t="shared" si="10"/>
        <v>huile d'olive</v>
      </c>
      <c r="J65" s="49">
        <f t="shared" si="11"/>
        <v>32.411551896207584</v>
      </c>
      <c r="M65" s="412"/>
      <c r="N65" s="45"/>
      <c r="O65"/>
      <c r="P65"/>
    </row>
    <row r="66" spans="1:16">
      <c r="A66" s="438">
        <v>1</v>
      </c>
      <c r="B66" s="2" t="s">
        <v>109</v>
      </c>
      <c r="C66" s="186" t="s">
        <v>674</v>
      </c>
      <c r="D66" s="51">
        <v>0</v>
      </c>
      <c r="E66" s="49">
        <f t="shared" si="8"/>
        <v>0</v>
      </c>
      <c r="F66" s="68"/>
      <c r="G66" s="128"/>
      <c r="H66" s="55">
        <f t="shared" si="9"/>
        <v>1</v>
      </c>
      <c r="I66" s="2" t="str">
        <f t="shared" si="10"/>
        <v>sel</v>
      </c>
      <c r="J66" s="49">
        <f t="shared" si="11"/>
        <v>0</v>
      </c>
      <c r="K66" s="275"/>
      <c r="M66" s="412"/>
      <c r="N66" s="45"/>
      <c r="O66"/>
      <c r="P66"/>
    </row>
    <row r="67" spans="1:16">
      <c r="A67" s="438">
        <v>0.5</v>
      </c>
      <c r="B67" s="2" t="s">
        <v>116</v>
      </c>
      <c r="C67" s="183" t="s">
        <v>675</v>
      </c>
      <c r="D67" s="51">
        <v>222</v>
      </c>
      <c r="E67" s="49">
        <f t="shared" si="8"/>
        <v>1.1100000000000001</v>
      </c>
      <c r="F67" s="68"/>
      <c r="G67" s="128"/>
      <c r="H67" s="55">
        <f t="shared" si="9"/>
        <v>0.42415169660678642</v>
      </c>
      <c r="I67" s="2" t="str">
        <f>B67</f>
        <v>poivre</v>
      </c>
      <c r="J67" s="49">
        <f>E67*$M$18%</f>
        <v>0.94161676646706594</v>
      </c>
      <c r="L67" s="154"/>
      <c r="M67" s="412"/>
      <c r="N67" s="45"/>
      <c r="O67"/>
      <c r="P67"/>
    </row>
    <row r="68" spans="1:16">
      <c r="A68" s="42"/>
      <c r="B68" s="131"/>
      <c r="C68" s="201"/>
      <c r="E68" s="130" t="s">
        <v>6</v>
      </c>
      <c r="F68" s="138">
        <f>SUM(E53:E67)</f>
        <v>508.65249999999997</v>
      </c>
      <c r="G68" s="140"/>
      <c r="H68" s="42"/>
      <c r="I68" s="131"/>
      <c r="J68" s="130" t="s">
        <v>6</v>
      </c>
      <c r="K68" s="336">
        <f>SUM(J53:J67)</f>
        <v>431.49164171656685</v>
      </c>
      <c r="L68" s="154"/>
      <c r="N68" s="45"/>
      <c r="P68"/>
    </row>
    <row r="69" spans="1:16">
      <c r="A69" s="256" t="s">
        <v>320</v>
      </c>
      <c r="B69" s="257"/>
      <c r="C69" s="323"/>
      <c r="D69" s="257"/>
      <c r="E69" s="257"/>
      <c r="F69" s="259"/>
      <c r="G69" s="260"/>
      <c r="H69" s="257"/>
      <c r="I69" s="257"/>
      <c r="J69" s="258"/>
      <c r="L69" s="154"/>
      <c r="N69" s="45"/>
      <c r="P69"/>
    </row>
    <row r="70" spans="1:16">
      <c r="A70" s="438">
        <v>100</v>
      </c>
      <c r="B70" s="2" t="s">
        <v>728</v>
      </c>
      <c r="C70" s="328" t="s">
        <v>673</v>
      </c>
      <c r="D70" s="51">
        <v>158</v>
      </c>
      <c r="E70" s="49">
        <f>D70/100*A70</f>
        <v>158</v>
      </c>
      <c r="F70" s="68"/>
      <c r="G70" s="128"/>
      <c r="H70" s="55">
        <f>IF(E70=0,A70,A70/E70*J70)</f>
        <v>84.830339321357286</v>
      </c>
      <c r="I70" s="2" t="str">
        <f t="shared" ref="I70:I73" si="12">B70</f>
        <v>ricotta </v>
      </c>
      <c r="J70" s="49">
        <f t="shared" si="11"/>
        <v>134.0319361277445</v>
      </c>
      <c r="K70" s="241"/>
      <c r="L70" s="154"/>
      <c r="N70" s="45"/>
      <c r="O70"/>
      <c r="P70"/>
    </row>
    <row r="71" spans="1:16">
      <c r="A71" s="438">
        <v>12</v>
      </c>
      <c r="B71" s="2" t="s">
        <v>319</v>
      </c>
      <c r="C71" s="185" t="s">
        <v>676</v>
      </c>
      <c r="D71" s="51">
        <v>17</v>
      </c>
      <c r="E71" s="49">
        <f t="shared" ref="E71:E73" si="13">D71/100*A71</f>
        <v>2.04</v>
      </c>
      <c r="F71" s="68"/>
      <c r="G71" s="128"/>
      <c r="H71" s="55">
        <f t="shared" ref="H71:H73" si="14">IF(E71=0,A71,A71/E71*J71)</f>
        <v>10.179640718562874</v>
      </c>
      <c r="I71" s="2" t="str">
        <f t="shared" si="12"/>
        <v>1 citron</v>
      </c>
      <c r="J71" s="49">
        <f t="shared" si="11"/>
        <v>1.7305389221556886</v>
      </c>
      <c r="K71" s="241"/>
      <c r="L71" s="154"/>
      <c r="N71" s="45"/>
      <c r="O71"/>
      <c r="P71"/>
    </row>
    <row r="72" spans="1:16">
      <c r="A72" s="438">
        <v>9</v>
      </c>
      <c r="B72" s="2" t="s">
        <v>207</v>
      </c>
      <c r="C72" s="328" t="s">
        <v>673</v>
      </c>
      <c r="D72" s="51">
        <v>306</v>
      </c>
      <c r="E72" s="49">
        <f t="shared" si="13"/>
        <v>27.54</v>
      </c>
      <c r="F72" s="68"/>
      <c r="G72" s="128"/>
      <c r="H72" s="55">
        <f t="shared" si="14"/>
        <v>7.6347305389221551</v>
      </c>
      <c r="I72" s="2" t="str">
        <f t="shared" si="12"/>
        <v>miel</v>
      </c>
      <c r="J72" s="49">
        <f t="shared" si="11"/>
        <v>23.362275449101794</v>
      </c>
      <c r="K72" s="241"/>
      <c r="L72" s="154"/>
      <c r="N72" s="45"/>
      <c r="O72"/>
      <c r="P72"/>
    </row>
    <row r="73" spans="1:16">
      <c r="A73" s="438">
        <v>25</v>
      </c>
      <c r="B73" s="2" t="s">
        <v>145</v>
      </c>
      <c r="C73" s="186" t="s">
        <v>674</v>
      </c>
      <c r="D73" s="51">
        <v>252</v>
      </c>
      <c r="E73" s="49">
        <f t="shared" si="13"/>
        <v>63</v>
      </c>
      <c r="F73" s="68"/>
      <c r="G73" s="128"/>
      <c r="H73" s="55">
        <f t="shared" si="14"/>
        <v>21.207584830339322</v>
      </c>
      <c r="I73" s="2" t="str">
        <f t="shared" si="12"/>
        <v>crème</v>
      </c>
      <c r="J73" s="49">
        <f t="shared" si="11"/>
        <v>53.443113772455092</v>
      </c>
      <c r="K73" s="241"/>
      <c r="L73" s="154"/>
      <c r="N73" s="45"/>
      <c r="O73"/>
      <c r="P73"/>
    </row>
    <row r="74" spans="1:16">
      <c r="A74" s="42"/>
      <c r="B74" s="131"/>
      <c r="C74" s="201"/>
      <c r="E74" s="143" t="s">
        <v>6</v>
      </c>
      <c r="F74" s="171">
        <f>SUM(E70:E73)</f>
        <v>250.57999999999998</v>
      </c>
      <c r="G74" s="25"/>
      <c r="H74" s="42"/>
      <c r="I74" s="131"/>
      <c r="J74" s="143" t="s">
        <v>6</v>
      </c>
      <c r="K74" s="336">
        <f>SUM(J70:J73)</f>
        <v>212.56786427145707</v>
      </c>
      <c r="N74" s="45"/>
      <c r="P74"/>
    </row>
    <row r="75" spans="1:16">
      <c r="A75" s="54">
        <f>IF(D5="non",0,IF(D5="1 verre",125,250))</f>
        <v>0</v>
      </c>
      <c r="B75" s="2" t="str">
        <f>IF(A75=0,"","vin")</f>
        <v/>
      </c>
      <c r="C75" s="203"/>
      <c r="D75" s="51">
        <v>80</v>
      </c>
      <c r="E75" s="49">
        <f>D75/100*A75</f>
        <v>0</v>
      </c>
      <c r="G75" s="142"/>
      <c r="H75" s="55">
        <f>IF(E75=0,A75,A75/E75*J75)</f>
        <v>0</v>
      </c>
      <c r="I75" s="2" t="str">
        <f>B75</f>
        <v/>
      </c>
      <c r="J75" s="49">
        <f t="shared" si="11"/>
        <v>0</v>
      </c>
      <c r="K75" s="335"/>
      <c r="N75" s="45"/>
      <c r="O75"/>
      <c r="P75"/>
    </row>
    <row r="76" spans="1:16" ht="6" customHeight="1">
      <c r="A76" s="17"/>
      <c r="B76" s="17"/>
      <c r="C76" s="209"/>
      <c r="D76" s="68"/>
      <c r="E76" s="17"/>
      <c r="F76" s="18"/>
      <c r="G76" s="204"/>
      <c r="H76" s="17"/>
      <c r="I76" s="17"/>
      <c r="J76" s="17"/>
      <c r="K76" s="335"/>
      <c r="O76"/>
      <c r="P76"/>
    </row>
    <row r="77" spans="1:16">
      <c r="A77" s="17"/>
      <c r="B77" s="17"/>
      <c r="C77" s="209"/>
      <c r="D77" s="69" t="s">
        <v>129</v>
      </c>
      <c r="F77" s="138">
        <f>SUM(F22:F75)</f>
        <v>2003.7724999999998</v>
      </c>
      <c r="G77" s="204"/>
      <c r="H77" s="17"/>
      <c r="I77" s="69" t="s">
        <v>129</v>
      </c>
      <c r="K77" s="336">
        <f>SUM(K22:K75)</f>
        <v>1699.8070109780438</v>
      </c>
      <c r="O77"/>
      <c r="P77"/>
    </row>
    <row r="78" spans="1:16">
      <c r="A78" s="17"/>
      <c r="B78" s="17"/>
      <c r="C78" s="209"/>
      <c r="D78" s="18" t="s">
        <v>130</v>
      </c>
      <c r="E78" s="25"/>
      <c r="F78" s="144">
        <f>F77+E75</f>
        <v>2003.7724999999998</v>
      </c>
      <c r="G78" s="43"/>
      <c r="H78" s="42"/>
      <c r="I78" s="18" t="s">
        <v>130</v>
      </c>
      <c r="J78" s="25"/>
      <c r="K78" s="336">
        <f>K77+J75</f>
        <v>1699.8070109780438</v>
      </c>
      <c r="O78"/>
      <c r="P78"/>
    </row>
    <row r="79" spans="1:16">
      <c r="A79" s="17"/>
      <c r="B79" s="16"/>
      <c r="C79" s="209"/>
      <c r="D79" s="17"/>
      <c r="E79" s="17"/>
      <c r="F79" s="205"/>
      <c r="G79" s="43"/>
      <c r="H79" s="17"/>
      <c r="I79" s="17"/>
      <c r="J79" s="17"/>
      <c r="O79"/>
      <c r="P79"/>
    </row>
    <row r="80" spans="1:16" ht="19">
      <c r="A80" s="118" t="s">
        <v>100</v>
      </c>
      <c r="B80" s="491" t="s">
        <v>99</v>
      </c>
      <c r="C80" s="491"/>
      <c r="D80" s="17"/>
      <c r="E80" s="17"/>
      <c r="F80" s="18"/>
      <c r="G80" s="18"/>
      <c r="H80" s="17"/>
      <c r="I80" s="17"/>
      <c r="J80" s="17"/>
      <c r="O80"/>
      <c r="P80"/>
    </row>
    <row r="81" spans="1:16" s="452" customFormat="1" ht="409" customHeight="1">
      <c r="A81" s="445"/>
      <c r="B81" s="446"/>
      <c r="C81" s="447"/>
      <c r="D81" s="445"/>
      <c r="E81" s="445"/>
      <c r="F81" s="448"/>
      <c r="G81" s="448"/>
      <c r="H81" s="445"/>
      <c r="I81" s="445"/>
      <c r="J81" s="445"/>
      <c r="K81" s="448"/>
      <c r="L81" s="449"/>
      <c r="M81" s="450"/>
      <c r="N81" s="451"/>
      <c r="O81" s="451"/>
    </row>
    <row r="82" spans="1:16">
      <c r="A82" s="17"/>
      <c r="B82" s="16"/>
      <c r="C82" s="209"/>
      <c r="D82" s="17"/>
      <c r="E82" s="17"/>
      <c r="F82" s="18"/>
      <c r="G82" s="18"/>
      <c r="H82" s="17"/>
      <c r="I82" s="17"/>
      <c r="J82" s="17"/>
      <c r="O82"/>
      <c r="P82"/>
    </row>
    <row r="83" spans="1:16">
      <c r="A83" s="17"/>
      <c r="B83" s="16"/>
      <c r="C83" s="209"/>
      <c r="D83" s="17"/>
      <c r="E83" s="17"/>
      <c r="F83" s="18"/>
      <c r="G83" s="18"/>
      <c r="H83" s="17"/>
      <c r="I83" s="17"/>
      <c r="J83" s="17"/>
      <c r="O83"/>
      <c r="P83"/>
    </row>
    <row r="84" spans="1:16">
      <c r="F84" s="18"/>
      <c r="G84" s="18"/>
    </row>
    <row r="85" spans="1:16">
      <c r="F85" s="206"/>
    </row>
  </sheetData>
  <sheetProtection password="BDE0" sheet="1" objects="1" scenarios="1" selectLockedCells="1"/>
  <mergeCells count="8">
    <mergeCell ref="B80:C80"/>
    <mergeCell ref="D8:J8"/>
    <mergeCell ref="B15:J15"/>
    <mergeCell ref="A18:A19"/>
    <mergeCell ref="B18:B19"/>
    <mergeCell ref="D18:E18"/>
    <mergeCell ref="H18:H19"/>
    <mergeCell ref="I18:I19"/>
  </mergeCells>
  <dataValidations xWindow="756" yWindow="267" count="3">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Objectif du jour" prompt="Entrez ici l'apport calorique souhaité._x000d_Arrondissez à la centaine inférieure ou supérieure l'estimation obtenue avec le calculateur du feuillet &quot;bilan&quot;._x000d_Cet objectif est ensuite figé pour la totalité de l'exercice (14 jours)." sqref="D7"/>
    <dataValidation allowBlank="1" showErrorMessage="1" promptTitle="Modification des quantités" prompt="Vous pouvez diminuer ou augmenter la quantité,._x000d_Si vous désirez supprimer l'aliment, inscrivez 0 (zéro)." sqref="A1:A1048576"/>
  </dataValidations>
  <hyperlinks>
    <hyperlink ref="B80" location="sommaire!A1" display="RETOUR AU SOMMAIRE"/>
    <hyperlink ref="C80" location="sommaire!A1" display="sommaire!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xWindow="756" yWindow="267"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
  <sheetViews>
    <sheetView workbookViewId="0">
      <selection activeCell="D5" sqref="D5"/>
    </sheetView>
  </sheetViews>
  <sheetFormatPr baseColWidth="10" defaultRowHeight="15" x14ac:dyDescent="0"/>
  <cols>
    <col min="1" max="1" width="6.33203125" customWidth="1"/>
    <col min="2" max="2" width="32.6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8.6640625" style="407" customWidth="1"/>
    <col min="14" max="14" width="3.33203125" style="44" customWidth="1"/>
    <col min="15" max="17" width="10.83203125" style="44"/>
  </cols>
  <sheetData>
    <row r="1" spans="1:17" ht="19">
      <c r="A1" s="207" t="s">
        <v>730</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ROUND(F77,0)</f>
        <v>1997</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36"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297</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D3+E75-D11</f>
        <v>297</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279"/>
      <c r="D18" s="481" t="s">
        <v>7</v>
      </c>
      <c r="E18" s="482"/>
      <c r="F18" s="18"/>
      <c r="G18" s="43"/>
      <c r="H18" s="487" t="str">
        <f>A18</f>
        <v>g/cl</v>
      </c>
      <c r="I18" s="489" t="str">
        <f>B18</f>
        <v>Ingrédients</v>
      </c>
      <c r="J18" s="70" t="s">
        <v>7</v>
      </c>
      <c r="M18" s="411">
        <f>100-(D12/((D11+D12)/100))</f>
        <v>85.127691537305964</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243</v>
      </c>
      <c r="B21" s="16"/>
      <c r="C21" s="209"/>
      <c r="D21" s="17"/>
      <c r="E21" s="17"/>
      <c r="F21" s="18"/>
      <c r="G21" s="43"/>
      <c r="H21" s="17"/>
      <c r="I21" s="17"/>
      <c r="J21" s="17"/>
      <c r="L21" s="154"/>
      <c r="P21"/>
      <c r="Q21"/>
    </row>
    <row r="22" spans="1:17">
      <c r="A22" s="438">
        <v>60</v>
      </c>
      <c r="B22" s="2" t="s">
        <v>134</v>
      </c>
      <c r="C22" s="185" t="s">
        <v>676</v>
      </c>
      <c r="D22" s="51">
        <v>134</v>
      </c>
      <c r="E22" s="49">
        <f t="shared" ref="E22:E28" si="0">D22/100*A22</f>
        <v>80.400000000000006</v>
      </c>
      <c r="F22" s="18"/>
      <c r="G22" s="43"/>
      <c r="H22" s="55">
        <f t="shared" ref="H22:H28" si="1">IF(E22=0,A22,A22/E22*J22)</f>
        <v>51.076614922383577</v>
      </c>
      <c r="I22" s="2" t="str">
        <f t="shared" ref="I22:I28" si="2">B22</f>
        <v>œuf à la coque</v>
      </c>
      <c r="J22" s="49">
        <f t="shared" ref="J22:J28" si="3">E22*$M$18%</f>
        <v>68.442663995993996</v>
      </c>
      <c r="M22" s="411"/>
      <c r="Q22"/>
    </row>
    <row r="23" spans="1:17">
      <c r="A23" s="438">
        <v>0.5</v>
      </c>
      <c r="B23" s="2" t="s">
        <v>109</v>
      </c>
      <c r="C23" s="197" t="s">
        <v>674</v>
      </c>
      <c r="D23" s="51">
        <v>0</v>
      </c>
      <c r="E23" s="49">
        <f t="shared" si="0"/>
        <v>0</v>
      </c>
      <c r="F23" s="18"/>
      <c r="G23" s="43"/>
      <c r="H23" s="55">
        <f t="shared" si="1"/>
        <v>0.5</v>
      </c>
      <c r="I23" s="2" t="str">
        <f t="shared" si="2"/>
        <v>sel</v>
      </c>
      <c r="J23" s="49">
        <f t="shared" si="3"/>
        <v>0</v>
      </c>
      <c r="O23" s="45"/>
      <c r="Q23"/>
    </row>
    <row r="24" spans="1:17">
      <c r="A24" s="438">
        <v>40</v>
      </c>
      <c r="B24" s="2" t="s">
        <v>102</v>
      </c>
      <c r="C24" s="196" t="s">
        <v>673</v>
      </c>
      <c r="D24" s="51">
        <v>229</v>
      </c>
      <c r="E24" s="49">
        <f t="shared" si="0"/>
        <v>91.6</v>
      </c>
      <c r="F24" s="18"/>
      <c r="G24" s="43"/>
      <c r="H24" s="55">
        <f t="shared" si="1"/>
        <v>34.05107661492238</v>
      </c>
      <c r="I24" s="2" t="str">
        <f t="shared" si="2"/>
        <v>pain complet</v>
      </c>
      <c r="J24" s="49">
        <f t="shared" si="3"/>
        <v>77.976965448172251</v>
      </c>
      <c r="O24" s="45"/>
      <c r="Q24"/>
    </row>
    <row r="25" spans="1:17">
      <c r="A25" s="438">
        <v>125</v>
      </c>
      <c r="B25" s="2" t="s">
        <v>137</v>
      </c>
      <c r="C25" s="185" t="s">
        <v>676</v>
      </c>
      <c r="D25" s="51">
        <v>71</v>
      </c>
      <c r="E25" s="49">
        <f t="shared" si="0"/>
        <v>88.75</v>
      </c>
      <c r="F25" s="18"/>
      <c r="G25" s="43"/>
      <c r="H25" s="55">
        <f t="shared" si="1"/>
        <v>106.40961442163244</v>
      </c>
      <c r="I25" s="2" t="str">
        <f t="shared" si="2"/>
        <v>fromage blanc 20%</v>
      </c>
      <c r="J25" s="49">
        <f t="shared" si="3"/>
        <v>75.55082623935904</v>
      </c>
      <c r="O25" s="45"/>
      <c r="Q25"/>
    </row>
    <row r="26" spans="1:17">
      <c r="A26" s="438">
        <v>100</v>
      </c>
      <c r="B26" s="2" t="s">
        <v>136</v>
      </c>
      <c r="C26" s="199" t="s">
        <v>675</v>
      </c>
      <c r="D26" s="51">
        <v>67</v>
      </c>
      <c r="E26" s="49">
        <f t="shared" si="0"/>
        <v>67</v>
      </c>
      <c r="F26" s="18"/>
      <c r="G26" s="43"/>
      <c r="H26" s="55">
        <f t="shared" si="1"/>
        <v>85.127691537305964</v>
      </c>
      <c r="I26" s="2" t="str">
        <f t="shared" si="2"/>
        <v>salade de fruits frais</v>
      </c>
      <c r="J26" s="49">
        <f t="shared" si="3"/>
        <v>57.035553329994997</v>
      </c>
      <c r="O26" s="45"/>
      <c r="Q26"/>
    </row>
    <row r="27" spans="1:17">
      <c r="A27" s="438">
        <v>150</v>
      </c>
      <c r="B27" s="2" t="s">
        <v>135</v>
      </c>
      <c r="C27" s="203"/>
      <c r="D27" s="51">
        <v>0</v>
      </c>
      <c r="E27" s="49">
        <f t="shared" si="0"/>
        <v>0</v>
      </c>
      <c r="F27" s="18"/>
      <c r="G27" s="43"/>
      <c r="H27" s="55">
        <f t="shared" si="1"/>
        <v>150</v>
      </c>
      <c r="I27" s="2" t="str">
        <f t="shared" si="2"/>
        <v>thé</v>
      </c>
      <c r="J27" s="49">
        <f t="shared" si="3"/>
        <v>0</v>
      </c>
      <c r="O27" s="45"/>
      <c r="Q27"/>
    </row>
    <row r="28" spans="1:17">
      <c r="A28" s="438">
        <v>12</v>
      </c>
      <c r="B28" s="2" t="s">
        <v>2</v>
      </c>
      <c r="C28" s="197" t="s">
        <v>674</v>
      </c>
      <c r="D28" s="51">
        <v>400</v>
      </c>
      <c r="E28" s="49">
        <f t="shared" si="0"/>
        <v>48</v>
      </c>
      <c r="F28" s="68"/>
      <c r="G28" s="128"/>
      <c r="H28" s="55">
        <f t="shared" si="1"/>
        <v>10.215322984476716</v>
      </c>
      <c r="I28" s="2" t="str">
        <f t="shared" si="2"/>
        <v>sucre</v>
      </c>
      <c r="J28" s="49">
        <f t="shared" si="3"/>
        <v>40.861291937906863</v>
      </c>
      <c r="K28" s="275"/>
      <c r="O28" s="45"/>
      <c r="Q28"/>
    </row>
    <row r="29" spans="1:17">
      <c r="A29" s="42"/>
      <c r="B29" s="131"/>
      <c r="C29" s="200"/>
      <c r="E29" s="130" t="s">
        <v>6</v>
      </c>
      <c r="F29" s="135">
        <f>SUM(E22:E28)</f>
        <v>375.75</v>
      </c>
      <c r="G29" s="128"/>
      <c r="H29" s="42"/>
      <c r="I29" s="131"/>
      <c r="J29" s="130" t="s">
        <v>6</v>
      </c>
      <c r="K29" s="336">
        <f>SUM(J22:J28)</f>
        <v>319.86730095142713</v>
      </c>
      <c r="O29" s="45"/>
      <c r="Q29"/>
    </row>
    <row r="30" spans="1:17">
      <c r="A30" s="216" t="s">
        <v>225</v>
      </c>
      <c r="B30" s="16"/>
      <c r="C30" s="209"/>
      <c r="D30" s="17"/>
      <c r="E30" s="17"/>
      <c r="F30" s="18"/>
      <c r="G30" s="43"/>
      <c r="H30" s="17"/>
      <c r="I30" s="17"/>
      <c r="J30" s="17"/>
      <c r="L30" s="154"/>
      <c r="P30"/>
      <c r="Q30"/>
    </row>
    <row r="31" spans="1:17">
      <c r="A31" s="66" t="s">
        <v>326</v>
      </c>
      <c r="B31" s="257"/>
      <c r="C31" s="257"/>
      <c r="D31" s="257"/>
      <c r="E31" s="257"/>
      <c r="F31" s="257"/>
      <c r="G31" s="257"/>
      <c r="H31" s="257"/>
      <c r="I31" s="257"/>
      <c r="J31" s="258"/>
      <c r="L31" s="154"/>
      <c r="O31" s="45"/>
      <c r="Q31"/>
    </row>
    <row r="32" spans="1:17">
      <c r="A32" s="439">
        <f>150/4</f>
        <v>37.5</v>
      </c>
      <c r="B32" s="2" t="s">
        <v>336</v>
      </c>
      <c r="C32" s="185" t="s">
        <v>676</v>
      </c>
      <c r="D32" s="253">
        <v>16</v>
      </c>
      <c r="E32" s="254">
        <f t="shared" ref="E32:E46" si="4">D32/100*A32</f>
        <v>6</v>
      </c>
      <c r="F32" s="68"/>
      <c r="G32" s="43"/>
      <c r="H32" s="255">
        <f t="shared" ref="H32:H46" si="5">IF(E32=0,A32,A32/E32*J32)</f>
        <v>31.922884326489736</v>
      </c>
      <c r="I32" s="251" t="str">
        <f t="shared" ref="I32:I46" si="6">B32</f>
        <v>poivron rouge</v>
      </c>
      <c r="J32" s="254">
        <f t="shared" ref="J32:J46" si="7">E32*$M$18%</f>
        <v>5.1076614922383579</v>
      </c>
      <c r="O32" s="45"/>
      <c r="Q32"/>
    </row>
    <row r="33" spans="1:17">
      <c r="A33" s="439">
        <v>50</v>
      </c>
      <c r="B33" s="2" t="s">
        <v>271</v>
      </c>
      <c r="C33" s="185" t="s">
        <v>676</v>
      </c>
      <c r="D33" s="253">
        <v>29</v>
      </c>
      <c r="E33" s="49">
        <f t="shared" si="4"/>
        <v>14.499999999999998</v>
      </c>
      <c r="F33" s="68"/>
      <c r="G33" s="128"/>
      <c r="H33" s="55">
        <f t="shared" si="5"/>
        <v>42.563845768652975</v>
      </c>
      <c r="I33" s="2" t="str">
        <f t="shared" si="6"/>
        <v>oignon</v>
      </c>
      <c r="J33" s="49">
        <f t="shared" si="7"/>
        <v>12.343515272909363</v>
      </c>
      <c r="O33" s="45"/>
      <c r="Q33"/>
    </row>
    <row r="34" spans="1:17">
      <c r="A34" s="439">
        <f>18/4</f>
        <v>4.5</v>
      </c>
      <c r="B34" s="2" t="s">
        <v>169</v>
      </c>
      <c r="C34" s="185" t="s">
        <v>676</v>
      </c>
      <c r="D34" s="253">
        <v>131</v>
      </c>
      <c r="E34" s="49">
        <f t="shared" si="4"/>
        <v>5.8950000000000005</v>
      </c>
      <c r="F34" s="68"/>
      <c r="G34" s="128"/>
      <c r="H34" s="55">
        <f t="shared" si="5"/>
        <v>3.8307461191787682</v>
      </c>
      <c r="I34" s="2" t="str">
        <f t="shared" si="6"/>
        <v>aïl</v>
      </c>
      <c r="J34" s="49">
        <f t="shared" si="7"/>
        <v>5.018277416124187</v>
      </c>
      <c r="O34" s="45"/>
      <c r="Q34"/>
    </row>
    <row r="35" spans="1:17">
      <c r="A35" s="439">
        <v>100</v>
      </c>
      <c r="B35" s="2" t="s">
        <v>338</v>
      </c>
      <c r="C35" s="185" t="s">
        <v>676</v>
      </c>
      <c r="D35" s="253">
        <v>110</v>
      </c>
      <c r="E35" s="49">
        <f>D35/100*A35</f>
        <v>110.00000000000001</v>
      </c>
      <c r="F35" s="68"/>
      <c r="G35" s="128"/>
      <c r="H35" s="55">
        <f t="shared" si="5"/>
        <v>85.12769153730595</v>
      </c>
      <c r="I35" s="2" t="str">
        <f t="shared" si="6"/>
        <v>haricots rouges cuits en boîte</v>
      </c>
      <c r="J35" s="49">
        <f t="shared" si="7"/>
        <v>93.640460691036566</v>
      </c>
      <c r="O35" s="45"/>
      <c r="Q35"/>
    </row>
    <row r="36" spans="1:17">
      <c r="A36" s="439">
        <v>3</v>
      </c>
      <c r="B36" s="2" t="s">
        <v>322</v>
      </c>
      <c r="C36" s="197" t="s">
        <v>674</v>
      </c>
      <c r="D36" s="253">
        <v>899</v>
      </c>
      <c r="E36" s="49">
        <f>D36/100*A36</f>
        <v>26.97</v>
      </c>
      <c r="F36" s="68"/>
      <c r="G36" s="128"/>
      <c r="H36" s="55">
        <f t="shared" si="5"/>
        <v>2.5538307461191789</v>
      </c>
      <c r="I36" s="2" t="str">
        <f t="shared" si="6"/>
        <v>huile d'olive </v>
      </c>
      <c r="J36" s="49">
        <f t="shared" si="7"/>
        <v>22.958938407611416</v>
      </c>
      <c r="O36" s="45"/>
      <c r="Q36"/>
    </row>
    <row r="37" spans="1:17">
      <c r="A37" s="439">
        <f>250/4</f>
        <v>62.5</v>
      </c>
      <c r="B37" s="2" t="s">
        <v>323</v>
      </c>
      <c r="C37" s="281" t="s">
        <v>676</v>
      </c>
      <c r="D37" s="253">
        <v>17</v>
      </c>
      <c r="E37" s="49">
        <f>D37/100*A37</f>
        <v>10.625</v>
      </c>
      <c r="F37" s="68"/>
      <c r="G37" s="128"/>
      <c r="H37" s="55">
        <f t="shared" si="5"/>
        <v>53.204807210816227</v>
      </c>
      <c r="I37" s="2" t="str">
        <f t="shared" si="6"/>
        <v>1 aubergine </v>
      </c>
      <c r="J37" s="49">
        <f t="shared" si="7"/>
        <v>9.0448172258387576</v>
      </c>
      <c r="O37" s="45"/>
      <c r="Q37"/>
    </row>
    <row r="38" spans="1:17">
      <c r="A38" s="439">
        <v>100</v>
      </c>
      <c r="B38" s="2" t="s">
        <v>337</v>
      </c>
      <c r="C38" s="281" t="s">
        <v>676</v>
      </c>
      <c r="D38" s="253">
        <v>19</v>
      </c>
      <c r="E38" s="49">
        <f t="shared" si="4"/>
        <v>19</v>
      </c>
      <c r="F38" s="68"/>
      <c r="G38" s="128"/>
      <c r="H38" s="55">
        <f t="shared" si="5"/>
        <v>85.127691537305978</v>
      </c>
      <c r="I38" s="2" t="str">
        <f t="shared" si="6"/>
        <v xml:space="preserve">pulpe de tomates en boîte </v>
      </c>
      <c r="J38" s="49">
        <f t="shared" si="7"/>
        <v>16.174261392088134</v>
      </c>
      <c r="O38" s="45"/>
      <c r="Q38"/>
    </row>
    <row r="39" spans="1:17">
      <c r="A39" s="439">
        <v>75</v>
      </c>
      <c r="B39" s="2" t="s">
        <v>339</v>
      </c>
      <c r="C39" s="199" t="s">
        <v>675</v>
      </c>
      <c r="D39" s="253">
        <v>58</v>
      </c>
      <c r="E39" s="49">
        <f t="shared" si="4"/>
        <v>43.5</v>
      </c>
      <c r="F39" s="68"/>
      <c r="G39" s="128"/>
      <c r="H39" s="55">
        <f t="shared" si="5"/>
        <v>63.845768652979466</v>
      </c>
      <c r="I39" s="2" t="str">
        <f t="shared" si="6"/>
        <v>sauce tomate en boîte</v>
      </c>
      <c r="J39" s="49">
        <f t="shared" si="7"/>
        <v>37.030545818728093</v>
      </c>
      <c r="O39" s="45"/>
      <c r="Q39"/>
    </row>
    <row r="40" spans="1:17">
      <c r="A40" s="439"/>
      <c r="B40" s="2" t="s">
        <v>325</v>
      </c>
      <c r="C40" s="276"/>
      <c r="D40" s="253"/>
      <c r="E40" s="49">
        <f t="shared" si="4"/>
        <v>0</v>
      </c>
      <c r="F40" s="68"/>
      <c r="G40" s="128"/>
      <c r="H40" s="55">
        <f t="shared" si="5"/>
        <v>0</v>
      </c>
      <c r="I40" s="2" t="str">
        <f t="shared" si="6"/>
        <v xml:space="preserve">tabasco </v>
      </c>
      <c r="J40" s="49">
        <f t="shared" si="7"/>
        <v>0</v>
      </c>
      <c r="O40" s="45"/>
      <c r="Q40"/>
    </row>
    <row r="41" spans="1:17">
      <c r="A41" s="439">
        <v>1.25</v>
      </c>
      <c r="B41" s="2" t="s">
        <v>340</v>
      </c>
      <c r="C41" s="196" t="s">
        <v>673</v>
      </c>
      <c r="D41" s="253">
        <v>376</v>
      </c>
      <c r="E41" s="49">
        <f t="shared" si="4"/>
        <v>4.6999999999999993</v>
      </c>
      <c r="F41" s="68"/>
      <c r="G41" s="128"/>
      <c r="H41" s="55">
        <f t="shared" si="5"/>
        <v>1.0640961442163246</v>
      </c>
      <c r="I41" s="2" t="str">
        <f>B41</f>
        <v>café de piment doux </v>
      </c>
      <c r="J41" s="49">
        <f>E41*$M$18%</f>
        <v>4.0010015022533798</v>
      </c>
      <c r="O41" s="45"/>
      <c r="P41"/>
      <c r="Q41"/>
    </row>
    <row r="42" spans="1:17">
      <c r="A42" s="439">
        <v>3</v>
      </c>
      <c r="B42" s="2" t="s">
        <v>341</v>
      </c>
      <c r="C42" s="199" t="s">
        <v>675</v>
      </c>
      <c r="D42" s="253">
        <v>265</v>
      </c>
      <c r="E42" s="49">
        <f t="shared" si="4"/>
        <v>7.9499999999999993</v>
      </c>
      <c r="F42" s="68"/>
      <c r="G42" s="128"/>
      <c r="H42" s="55">
        <f t="shared" si="5"/>
        <v>2.5538307461191789</v>
      </c>
      <c r="I42" s="2" t="str">
        <f t="shared" si="6"/>
        <v>origan </v>
      </c>
      <c r="J42" s="49">
        <f t="shared" si="7"/>
        <v>6.7676514772158232</v>
      </c>
      <c r="O42" s="45"/>
      <c r="Q42"/>
    </row>
    <row r="43" spans="1:17">
      <c r="A43" s="439">
        <f>50*3</f>
        <v>150</v>
      </c>
      <c r="B43" s="2" t="s">
        <v>790</v>
      </c>
      <c r="C43" s="199" t="s">
        <v>675</v>
      </c>
      <c r="D43" s="253">
        <v>144</v>
      </c>
      <c r="E43" s="49">
        <f t="shared" si="4"/>
        <v>216</v>
      </c>
      <c r="F43" s="68"/>
      <c r="G43" s="128"/>
      <c r="H43" s="55">
        <f t="shared" si="5"/>
        <v>127.69153730595895</v>
      </c>
      <c r="I43" s="2" t="str">
        <f t="shared" si="6"/>
        <v>blé Ebly cuit</v>
      </c>
      <c r="J43" s="49">
        <f t="shared" si="7"/>
        <v>183.87581372058088</v>
      </c>
      <c r="O43" s="45"/>
      <c r="Q43"/>
    </row>
    <row r="44" spans="1:17">
      <c r="A44" s="439">
        <v>50</v>
      </c>
      <c r="B44" s="2" t="s">
        <v>324</v>
      </c>
      <c r="C44" s="281" t="s">
        <v>676</v>
      </c>
      <c r="D44" s="253">
        <v>18</v>
      </c>
      <c r="E44" s="49">
        <f t="shared" si="4"/>
        <v>9</v>
      </c>
      <c r="F44" s="68"/>
      <c r="G44" s="128"/>
      <c r="H44" s="55">
        <f t="shared" si="5"/>
        <v>42.563845768652975</v>
      </c>
      <c r="I44" s="2" t="str">
        <f t="shared" si="6"/>
        <v>salade pommée (200 g)</v>
      </c>
      <c r="J44" s="49">
        <f t="shared" si="7"/>
        <v>7.6614922383575363</v>
      </c>
      <c r="O44" s="45"/>
      <c r="Q44"/>
    </row>
    <row r="45" spans="1:17">
      <c r="A45" s="439">
        <v>12</v>
      </c>
      <c r="B45" s="2" t="s">
        <v>162</v>
      </c>
      <c r="C45" s="197" t="s">
        <v>674</v>
      </c>
      <c r="D45" s="253">
        <v>446</v>
      </c>
      <c r="E45" s="49">
        <f t="shared" si="4"/>
        <v>53.519999999999996</v>
      </c>
      <c r="F45" s="68"/>
      <c r="G45" s="128"/>
      <c r="H45" s="55">
        <f t="shared" si="5"/>
        <v>10.215322984476714</v>
      </c>
      <c r="I45" s="2" t="str">
        <f t="shared" si="6"/>
        <v>sauce française</v>
      </c>
      <c r="J45" s="49">
        <f t="shared" si="7"/>
        <v>45.560340510766146</v>
      </c>
      <c r="O45" s="45"/>
      <c r="P45"/>
      <c r="Q45"/>
    </row>
    <row r="46" spans="1:17">
      <c r="A46" s="439">
        <v>1</v>
      </c>
      <c r="B46" s="2" t="s">
        <v>109</v>
      </c>
      <c r="C46" s="197" t="s">
        <v>674</v>
      </c>
      <c r="D46" s="253">
        <v>0</v>
      </c>
      <c r="E46" s="49">
        <f t="shared" si="4"/>
        <v>0</v>
      </c>
      <c r="F46" s="68"/>
      <c r="G46" s="128"/>
      <c r="H46" s="55">
        <f t="shared" si="5"/>
        <v>1</v>
      </c>
      <c r="I46" s="2" t="str">
        <f t="shared" si="6"/>
        <v>sel</v>
      </c>
      <c r="J46" s="49">
        <f t="shared" si="7"/>
        <v>0</v>
      </c>
      <c r="O46" s="45"/>
      <c r="P46"/>
      <c r="Q46"/>
    </row>
    <row r="47" spans="1:17">
      <c r="A47" s="42"/>
      <c r="B47" s="131"/>
      <c r="C47" s="200"/>
      <c r="E47" s="130" t="s">
        <v>6</v>
      </c>
      <c r="F47" s="138">
        <f>SUM(E32:E46)</f>
        <v>527.66</v>
      </c>
      <c r="G47" s="128"/>
      <c r="H47" s="42"/>
      <c r="I47" s="131"/>
      <c r="J47" s="130" t="s">
        <v>6</v>
      </c>
      <c r="K47" s="336">
        <f>SUM(J32:J46)</f>
        <v>449.18477716574864</v>
      </c>
      <c r="O47" s="45"/>
      <c r="Q47"/>
    </row>
    <row r="48" spans="1:17" ht="6" customHeight="1">
      <c r="A48" s="17"/>
      <c r="B48" s="17"/>
      <c r="C48" s="188"/>
      <c r="D48" s="68"/>
      <c r="E48" s="17"/>
      <c r="F48" s="18"/>
      <c r="G48" s="43"/>
      <c r="H48" s="17"/>
      <c r="I48" s="17"/>
      <c r="J48" s="17"/>
      <c r="O48" s="45"/>
      <c r="P48"/>
      <c r="Q48"/>
    </row>
    <row r="49" spans="1:17">
      <c r="A49" s="216" t="s">
        <v>228</v>
      </c>
      <c r="B49" s="16"/>
      <c r="C49" s="209"/>
      <c r="D49" s="17"/>
      <c r="E49" s="17"/>
      <c r="F49" s="18"/>
      <c r="G49" s="43"/>
      <c r="H49" s="17"/>
      <c r="I49" s="17"/>
      <c r="J49" s="17"/>
      <c r="P49"/>
      <c r="Q49"/>
    </row>
    <row r="50" spans="1:17">
      <c r="A50" s="438">
        <v>50</v>
      </c>
      <c r="B50" s="2" t="s">
        <v>329</v>
      </c>
      <c r="C50" s="196" t="s">
        <v>673</v>
      </c>
      <c r="D50" s="51">
        <v>220</v>
      </c>
      <c r="E50" s="49">
        <f>D50/100*A50</f>
        <v>110.00000000000001</v>
      </c>
      <c r="F50" s="18"/>
      <c r="G50" s="43"/>
      <c r="H50" s="55">
        <f>IF(E50=0,A50,A50/E50*J50)</f>
        <v>42.563845768652975</v>
      </c>
      <c r="I50" s="2" t="str">
        <f>B50</f>
        <v>pain de seigle</v>
      </c>
      <c r="J50" s="49">
        <f>E50*$M$18%</f>
        <v>93.640460691036566</v>
      </c>
      <c r="L50" s="154"/>
    </row>
    <row r="51" spans="1:17">
      <c r="A51" s="438">
        <v>20</v>
      </c>
      <c r="B51" s="2" t="s">
        <v>328</v>
      </c>
      <c r="C51" s="282" t="s">
        <v>677</v>
      </c>
      <c r="D51" s="51">
        <v>309</v>
      </c>
      <c r="E51" s="49">
        <f>D51/100*A51</f>
        <v>61.8</v>
      </c>
      <c r="F51" s="18"/>
      <c r="G51" s="43"/>
      <c r="H51" s="55">
        <f>IF(E51=0,A51,A51/E51*J51)</f>
        <v>17.025538307461193</v>
      </c>
      <c r="I51" s="2" t="str">
        <f>B51</f>
        <v>fromage à tartiner</v>
      </c>
      <c r="J51" s="49">
        <f>E51*$M$18%</f>
        <v>52.608913370055085</v>
      </c>
    </row>
    <row r="52" spans="1:17">
      <c r="A52" s="42"/>
      <c r="B52" s="157"/>
      <c r="C52" s="272"/>
      <c r="E52" s="130" t="s">
        <v>6</v>
      </c>
      <c r="F52" s="175">
        <f>SUM(E50:E51)</f>
        <v>171.8</v>
      </c>
      <c r="G52" s="140"/>
      <c r="H52" s="42"/>
      <c r="I52" s="131"/>
      <c r="J52" s="130" t="s">
        <v>6</v>
      </c>
      <c r="K52" s="336">
        <f>SUM(J50:J51)</f>
        <v>146.24937406109166</v>
      </c>
      <c r="O52" s="45"/>
      <c r="Q52"/>
    </row>
    <row r="53" spans="1:17">
      <c r="A53" s="216" t="s">
        <v>226</v>
      </c>
      <c r="B53" s="16"/>
      <c r="C53" s="209"/>
      <c r="D53" s="17"/>
      <c r="E53" s="17"/>
      <c r="F53" s="18"/>
      <c r="G53" s="43"/>
      <c r="H53" s="17"/>
      <c r="I53" s="17"/>
      <c r="J53" s="17"/>
      <c r="M53" s="412"/>
      <c r="P53"/>
      <c r="Q53"/>
    </row>
    <row r="54" spans="1:17">
      <c r="A54" s="66" t="s">
        <v>327</v>
      </c>
      <c r="B54" s="257"/>
      <c r="C54" s="257"/>
      <c r="D54" s="257"/>
      <c r="E54" s="257"/>
      <c r="F54" s="257"/>
      <c r="G54" s="257"/>
      <c r="H54" s="257"/>
      <c r="I54" s="257"/>
      <c r="J54" s="258"/>
      <c r="L54" s="154"/>
      <c r="M54" s="412"/>
      <c r="O54" s="45"/>
      <c r="Q54"/>
    </row>
    <row r="55" spans="1:17">
      <c r="A55" s="439">
        <v>5</v>
      </c>
      <c r="B55" s="2" t="s">
        <v>0</v>
      </c>
      <c r="C55" s="197" t="s">
        <v>674</v>
      </c>
      <c r="D55" s="253">
        <v>747</v>
      </c>
      <c r="E55" s="49">
        <f t="shared" ref="E55:E66" si="8">D55/100*A55</f>
        <v>37.35</v>
      </c>
      <c r="F55" s="68"/>
      <c r="G55" s="128"/>
      <c r="H55" s="55">
        <f t="shared" ref="H55:H66" si="9">IF(E55=0,A55,A55/E55*J55)</f>
        <v>4.2563845768652984</v>
      </c>
      <c r="I55" s="2" t="str">
        <f t="shared" ref="I55:I66" si="10">B55</f>
        <v>beurre</v>
      </c>
      <c r="J55" s="49">
        <f t="shared" ref="J55:J75" si="11">E55*$M$18%</f>
        <v>31.795192789183776</v>
      </c>
      <c r="L55" s="154"/>
      <c r="M55" s="412"/>
      <c r="O55" s="45"/>
      <c r="P55"/>
      <c r="Q55"/>
    </row>
    <row r="56" spans="1:17">
      <c r="A56" s="439">
        <v>150</v>
      </c>
      <c r="B56" s="2" t="s">
        <v>342</v>
      </c>
      <c r="C56" s="281" t="s">
        <v>676</v>
      </c>
      <c r="D56" s="253">
        <v>125</v>
      </c>
      <c r="E56" s="49">
        <f t="shared" si="8"/>
        <v>187.5</v>
      </c>
      <c r="F56" s="68"/>
      <c r="G56" s="128"/>
      <c r="H56" s="55">
        <f t="shared" si="9"/>
        <v>127.69153730595895</v>
      </c>
      <c r="I56" s="2" t="str">
        <f t="shared" si="10"/>
        <v>foie de veau</v>
      </c>
      <c r="J56" s="49">
        <f t="shared" si="11"/>
        <v>159.61442163244868</v>
      </c>
      <c r="M56" s="412"/>
      <c r="O56" s="45"/>
      <c r="P56"/>
      <c r="Q56"/>
    </row>
    <row r="57" spans="1:17">
      <c r="A57" s="439">
        <v>25</v>
      </c>
      <c r="B57" s="2" t="s">
        <v>343</v>
      </c>
      <c r="C57" s="282" t="s">
        <v>677</v>
      </c>
      <c r="D57" s="253">
        <v>200</v>
      </c>
      <c r="E57" s="49">
        <f t="shared" si="8"/>
        <v>50</v>
      </c>
      <c r="F57" s="68"/>
      <c r="G57" s="128"/>
      <c r="H57" s="55">
        <f t="shared" si="9"/>
        <v>21.281922884326491</v>
      </c>
      <c r="I57" s="2" t="str">
        <f t="shared" si="10"/>
        <v>bacon</v>
      </c>
      <c r="J57" s="49">
        <f t="shared" si="11"/>
        <v>42.563845768652982</v>
      </c>
      <c r="M57" s="412"/>
      <c r="O57" s="45"/>
      <c r="P57"/>
      <c r="Q57"/>
    </row>
    <row r="58" spans="1:17">
      <c r="A58" s="439">
        <v>6</v>
      </c>
      <c r="B58" s="2" t="s">
        <v>344</v>
      </c>
      <c r="C58" s="199" t="s">
        <v>675</v>
      </c>
      <c r="D58" s="253">
        <v>22</v>
      </c>
      <c r="E58" s="49">
        <f t="shared" si="8"/>
        <v>1.32</v>
      </c>
      <c r="F58" s="68"/>
      <c r="G58" s="128"/>
      <c r="H58" s="55">
        <f t="shared" si="9"/>
        <v>5.107661492238357</v>
      </c>
      <c r="I58" s="2" t="str">
        <f t="shared" si="10"/>
        <v>vinaigre de vin</v>
      </c>
      <c r="J58" s="49">
        <f t="shared" si="11"/>
        <v>1.1236855282924387</v>
      </c>
      <c r="M58" s="412"/>
      <c r="O58" s="45"/>
      <c r="P58"/>
      <c r="Q58"/>
    </row>
    <row r="59" spans="1:17">
      <c r="A59" s="439">
        <v>0.5</v>
      </c>
      <c r="B59" s="2" t="s">
        <v>345</v>
      </c>
      <c r="C59" s="281" t="s">
        <v>676</v>
      </c>
      <c r="D59" s="253">
        <v>62</v>
      </c>
      <c r="E59" s="49">
        <f t="shared" si="8"/>
        <v>0.31</v>
      </c>
      <c r="F59" s="68"/>
      <c r="G59" s="128"/>
      <c r="H59" s="55">
        <f t="shared" si="9"/>
        <v>0.4256384576865298</v>
      </c>
      <c r="I59" s="2" t="str">
        <f t="shared" si="10"/>
        <v>romarin en pudre</v>
      </c>
      <c r="J59" s="49">
        <f t="shared" si="11"/>
        <v>0.26389584376564845</v>
      </c>
      <c r="M59" s="412"/>
      <c r="O59" s="45"/>
      <c r="P59"/>
      <c r="Q59"/>
    </row>
    <row r="60" spans="1:17">
      <c r="A60" s="439">
        <v>100</v>
      </c>
      <c r="B60" s="2" t="s">
        <v>141</v>
      </c>
      <c r="C60" s="281" t="s">
        <v>676</v>
      </c>
      <c r="D60" s="253">
        <v>30</v>
      </c>
      <c r="E60" s="49">
        <f t="shared" si="8"/>
        <v>30</v>
      </c>
      <c r="F60" s="68"/>
      <c r="G60" s="128"/>
      <c r="H60" s="55">
        <f t="shared" si="9"/>
        <v>85.127691537305964</v>
      </c>
      <c r="I60" s="2" t="str">
        <f t="shared" si="10"/>
        <v>carottes</v>
      </c>
      <c r="J60" s="49">
        <f t="shared" si="11"/>
        <v>25.538307461191788</v>
      </c>
      <c r="M60" s="412"/>
      <c r="O60" s="45"/>
      <c r="P60"/>
      <c r="Q60"/>
    </row>
    <row r="61" spans="1:17">
      <c r="A61" s="439">
        <v>7</v>
      </c>
      <c r="B61" s="2" t="s">
        <v>204</v>
      </c>
      <c r="C61" s="281" t="s">
        <v>676</v>
      </c>
      <c r="D61" s="253">
        <v>17</v>
      </c>
      <c r="E61" s="49">
        <f t="shared" si="8"/>
        <v>1.1900000000000002</v>
      </c>
      <c r="F61" s="68"/>
      <c r="G61" s="128"/>
      <c r="H61" s="55">
        <f t="shared" si="9"/>
        <v>5.9589384076114174</v>
      </c>
      <c r="I61" s="2" t="str">
        <f t="shared" si="10"/>
        <v>citron</v>
      </c>
      <c r="J61" s="49">
        <f t="shared" si="11"/>
        <v>1.013019529293941</v>
      </c>
      <c r="M61" s="412"/>
      <c r="O61" s="45"/>
      <c r="P61"/>
      <c r="Q61"/>
    </row>
    <row r="62" spans="1:17">
      <c r="A62" s="439">
        <v>1</v>
      </c>
      <c r="B62" s="2" t="s">
        <v>321</v>
      </c>
      <c r="C62" s="199" t="s">
        <v>675</v>
      </c>
      <c r="D62" s="253">
        <v>427</v>
      </c>
      <c r="E62" s="49">
        <f t="shared" si="8"/>
        <v>4.2699999999999996</v>
      </c>
      <c r="F62" s="68"/>
      <c r="G62" s="128"/>
      <c r="H62" s="55">
        <f t="shared" si="9"/>
        <v>0.8512769153730595</v>
      </c>
      <c r="I62" s="2" t="str">
        <f t="shared" si="10"/>
        <v>cumin en poudre</v>
      </c>
      <c r="J62" s="49">
        <f t="shared" si="11"/>
        <v>3.634952428642964</v>
      </c>
      <c r="M62" s="412"/>
      <c r="O62" s="45"/>
      <c r="P62"/>
      <c r="Q62"/>
    </row>
    <row r="63" spans="1:17">
      <c r="A63" s="439">
        <v>150</v>
      </c>
      <c r="B63" s="2" t="s">
        <v>346</v>
      </c>
      <c r="C63" s="281" t="s">
        <v>676</v>
      </c>
      <c r="D63" s="253">
        <v>76</v>
      </c>
      <c r="E63" s="49">
        <f t="shared" si="8"/>
        <v>114</v>
      </c>
      <c r="F63" s="68"/>
      <c r="G63" s="128"/>
      <c r="H63" s="55">
        <f t="shared" si="9"/>
        <v>127.69153730595895</v>
      </c>
      <c r="I63" s="2" t="str">
        <f t="shared" si="10"/>
        <v>pommes de terre nouvelles</v>
      </c>
      <c r="J63" s="49">
        <f t="shared" si="11"/>
        <v>97.04556835252879</v>
      </c>
      <c r="M63" s="412"/>
      <c r="O63" s="45"/>
      <c r="P63"/>
      <c r="Q63"/>
    </row>
    <row r="64" spans="1:17">
      <c r="A64" s="439">
        <v>3.5</v>
      </c>
      <c r="B64" s="2" t="s">
        <v>539</v>
      </c>
      <c r="C64" s="197" t="s">
        <v>674</v>
      </c>
      <c r="D64" s="253">
        <v>899</v>
      </c>
      <c r="E64" s="49">
        <f t="shared" si="8"/>
        <v>31.465</v>
      </c>
      <c r="F64" s="68"/>
      <c r="G64" s="128"/>
      <c r="H64" s="55">
        <f t="shared" si="9"/>
        <v>2.9794692038057087</v>
      </c>
      <c r="I64" s="2" t="str">
        <f t="shared" si="10"/>
        <v>huile de tournesol</v>
      </c>
      <c r="J64" s="49">
        <f t="shared" si="11"/>
        <v>26.78542814221332</v>
      </c>
      <c r="M64" s="412"/>
      <c r="O64" s="45"/>
      <c r="P64"/>
      <c r="Q64"/>
    </row>
    <row r="65" spans="1:17">
      <c r="A65" s="439">
        <v>1</v>
      </c>
      <c r="B65" s="2" t="s">
        <v>109</v>
      </c>
      <c r="C65" s="197" t="s">
        <v>674</v>
      </c>
      <c r="D65" s="253">
        <v>0</v>
      </c>
      <c r="E65" s="49">
        <f t="shared" si="8"/>
        <v>0</v>
      </c>
      <c r="F65" s="68"/>
      <c r="G65" s="128"/>
      <c r="H65" s="55">
        <f t="shared" si="9"/>
        <v>1</v>
      </c>
      <c r="I65" s="2" t="str">
        <f t="shared" si="10"/>
        <v>sel</v>
      </c>
      <c r="J65" s="49">
        <f t="shared" si="11"/>
        <v>0</v>
      </c>
      <c r="M65" s="412"/>
      <c r="O65" s="45"/>
      <c r="P65"/>
      <c r="Q65"/>
    </row>
    <row r="66" spans="1:17">
      <c r="A66" s="438">
        <v>0.5</v>
      </c>
      <c r="B66" s="2" t="s">
        <v>116</v>
      </c>
      <c r="C66" s="183" t="s">
        <v>675</v>
      </c>
      <c r="D66" s="51">
        <v>222</v>
      </c>
      <c r="E66" s="49">
        <f t="shared" si="8"/>
        <v>1.1100000000000001</v>
      </c>
      <c r="F66" s="68"/>
      <c r="G66" s="128"/>
      <c r="H66" s="55">
        <f t="shared" si="9"/>
        <v>0.42563845768652975</v>
      </c>
      <c r="I66" s="2" t="str">
        <f t="shared" si="10"/>
        <v>poivre</v>
      </c>
      <c r="J66" s="49">
        <f t="shared" si="11"/>
        <v>0.9449173760640962</v>
      </c>
      <c r="M66" s="412"/>
      <c r="O66" s="45"/>
      <c r="P66"/>
      <c r="Q66"/>
    </row>
    <row r="67" spans="1:17">
      <c r="A67" s="42"/>
      <c r="B67" s="131"/>
      <c r="C67" s="201"/>
      <c r="E67" s="130" t="s">
        <v>6</v>
      </c>
      <c r="F67" s="138">
        <f>SUM(E55:E66)</f>
        <v>458.51499999999999</v>
      </c>
      <c r="G67" s="140"/>
      <c r="H67" s="42"/>
      <c r="I67" s="131"/>
      <c r="J67" s="130" t="s">
        <v>6</v>
      </c>
      <c r="K67" s="336">
        <f>SUM(J55:J66)</f>
        <v>390.32323485227846</v>
      </c>
      <c r="L67" s="154"/>
      <c r="M67" s="412"/>
      <c r="O67" s="45"/>
      <c r="Q67"/>
    </row>
    <row r="68" spans="1:17">
      <c r="A68" s="66" t="s">
        <v>330</v>
      </c>
      <c r="B68" s="257"/>
      <c r="C68" s="257"/>
      <c r="D68" s="257"/>
      <c r="E68" s="257"/>
      <c r="F68" s="259"/>
      <c r="G68" s="260"/>
      <c r="H68" s="257"/>
      <c r="I68" s="257"/>
      <c r="J68" s="258"/>
      <c r="L68" s="154"/>
      <c r="O68" s="45"/>
      <c r="Q68"/>
    </row>
    <row r="69" spans="1:17">
      <c r="A69" s="439">
        <v>50</v>
      </c>
      <c r="B69" s="2" t="s">
        <v>347</v>
      </c>
      <c r="C69" s="197" t="s">
        <v>674</v>
      </c>
      <c r="D69" s="253">
        <v>519</v>
      </c>
      <c r="E69" s="49">
        <f t="shared" ref="E69:E73" si="12">D69/100*A69</f>
        <v>259.5</v>
      </c>
      <c r="F69" s="68"/>
      <c r="G69" s="128"/>
      <c r="H69" s="55">
        <f>IF(E69=0,A69,A69/E69*J69)</f>
        <v>42.563845768652982</v>
      </c>
      <c r="I69" s="2" t="str">
        <f>B69</f>
        <v>chocolat noir </v>
      </c>
      <c r="J69" s="49">
        <f t="shared" si="11"/>
        <v>220.90635953930897</v>
      </c>
      <c r="K69" s="241"/>
      <c r="L69" s="154"/>
      <c r="O69" s="45"/>
      <c r="P69"/>
      <c r="Q69"/>
    </row>
    <row r="70" spans="1:17">
      <c r="A70" s="439">
        <v>7.5</v>
      </c>
      <c r="B70" s="2" t="s">
        <v>348</v>
      </c>
      <c r="C70" s="197" t="s">
        <v>674</v>
      </c>
      <c r="D70" s="253">
        <v>747</v>
      </c>
      <c r="E70" s="49">
        <f t="shared" si="12"/>
        <v>56.024999999999999</v>
      </c>
      <c r="F70" s="68"/>
      <c r="G70" s="128"/>
      <c r="H70" s="55">
        <f t="shared" ref="H70:H73" si="13">IF(E70=0,A70,A70/E70*J70)</f>
        <v>6.3845768652979471</v>
      </c>
      <c r="I70" s="2" t="str">
        <f t="shared" ref="I70:I73" si="14">B70</f>
        <v xml:space="preserve">beurre  </v>
      </c>
      <c r="J70" s="49">
        <f t="shared" si="11"/>
        <v>47.692789183775666</v>
      </c>
      <c r="K70" s="241"/>
      <c r="L70" s="154"/>
      <c r="O70" s="45"/>
      <c r="P70"/>
      <c r="Q70"/>
    </row>
    <row r="71" spans="1:17">
      <c r="A71" s="439">
        <v>60</v>
      </c>
      <c r="B71" s="2" t="s">
        <v>181</v>
      </c>
      <c r="C71" s="281" t="s">
        <v>676</v>
      </c>
      <c r="D71" s="253">
        <v>146</v>
      </c>
      <c r="E71" s="49">
        <f t="shared" si="12"/>
        <v>87.6</v>
      </c>
      <c r="F71" s="68"/>
      <c r="G71" s="128"/>
      <c r="H71" s="55">
        <f t="shared" si="13"/>
        <v>51.076614922383577</v>
      </c>
      <c r="I71" s="2" t="str">
        <f t="shared" si="14"/>
        <v>œufs</v>
      </c>
      <c r="J71" s="49">
        <f t="shared" si="11"/>
        <v>74.571857786680013</v>
      </c>
      <c r="K71" s="241"/>
      <c r="L71" s="154"/>
      <c r="O71" s="45"/>
      <c r="P71"/>
      <c r="Q71"/>
    </row>
    <row r="72" spans="1:17">
      <c r="A72" s="439"/>
      <c r="B72" s="2" t="s">
        <v>331</v>
      </c>
      <c r="C72" s="197" t="s">
        <v>674</v>
      </c>
      <c r="D72" s="253"/>
      <c r="E72" s="49">
        <f t="shared" si="12"/>
        <v>0</v>
      </c>
      <c r="F72" s="68"/>
      <c r="G72" s="128"/>
      <c r="H72" s="55">
        <f t="shared" si="13"/>
        <v>0</v>
      </c>
      <c r="I72" s="2" t="str">
        <f t="shared" si="14"/>
        <v xml:space="preserve">sel </v>
      </c>
      <c r="J72" s="49">
        <f t="shared" si="11"/>
        <v>0</v>
      </c>
      <c r="K72" s="241"/>
      <c r="L72" s="154"/>
      <c r="O72" s="45"/>
      <c r="P72"/>
      <c r="Q72"/>
    </row>
    <row r="73" spans="1:17">
      <c r="A73" s="439">
        <v>15</v>
      </c>
      <c r="B73" s="2" t="s">
        <v>250</v>
      </c>
      <c r="C73" s="197" t="s">
        <v>674</v>
      </c>
      <c r="D73" s="253">
        <v>400</v>
      </c>
      <c r="E73" s="49">
        <f t="shared" si="12"/>
        <v>60</v>
      </c>
      <c r="F73" s="68"/>
      <c r="G73" s="128"/>
      <c r="H73" s="55">
        <f t="shared" si="13"/>
        <v>12.769153730595894</v>
      </c>
      <c r="I73" s="2" t="str">
        <f t="shared" si="14"/>
        <v xml:space="preserve">sucre </v>
      </c>
      <c r="J73" s="49">
        <f t="shared" si="11"/>
        <v>51.076614922383577</v>
      </c>
      <c r="K73" s="241"/>
      <c r="L73" s="154"/>
      <c r="O73" s="45"/>
      <c r="P73"/>
      <c r="Q73"/>
    </row>
    <row r="74" spans="1:17">
      <c r="A74" s="42"/>
      <c r="B74" s="131"/>
      <c r="C74" s="201"/>
      <c r="E74" s="143" t="s">
        <v>6</v>
      </c>
      <c r="F74" s="171">
        <f>SUM(E69:E73)</f>
        <v>463.125</v>
      </c>
      <c r="G74" s="25"/>
      <c r="H74" s="42"/>
      <c r="I74" s="131"/>
      <c r="J74" s="143" t="s">
        <v>6</v>
      </c>
      <c r="K74" s="336">
        <f>SUM(J69:J73)</f>
        <v>394.24762143214821</v>
      </c>
      <c r="O74" s="45"/>
      <c r="Q74"/>
    </row>
    <row r="75" spans="1:17">
      <c r="A75" s="54">
        <f>IF(D5="non",0,IF(D5="1 verre",125,250))</f>
        <v>0</v>
      </c>
      <c r="B75" s="2" t="str">
        <f>IF(A75=0,"","vin")</f>
        <v/>
      </c>
      <c r="C75" s="203"/>
      <c r="D75" s="51">
        <v>80</v>
      </c>
      <c r="E75" s="49">
        <f>D75/100*A75</f>
        <v>0</v>
      </c>
      <c r="G75" s="142"/>
      <c r="H75" s="55">
        <f>IF(E75=0,A75,A75/E75*J75)</f>
        <v>0</v>
      </c>
      <c r="I75" s="2" t="str">
        <f>B75</f>
        <v/>
      </c>
      <c r="J75" s="49">
        <f t="shared" si="11"/>
        <v>0</v>
      </c>
      <c r="K75" s="335"/>
      <c r="O75" s="45"/>
      <c r="P75"/>
      <c r="Q75"/>
    </row>
    <row r="76" spans="1:17" ht="6" customHeight="1">
      <c r="A76" s="17"/>
      <c r="B76" s="17"/>
      <c r="C76" s="188"/>
      <c r="D76" s="68"/>
      <c r="E76" s="17"/>
      <c r="F76" s="18"/>
      <c r="G76" s="204"/>
      <c r="H76" s="17"/>
      <c r="I76" s="17"/>
      <c r="J76" s="17"/>
      <c r="K76" s="335"/>
      <c r="P76"/>
      <c r="Q76"/>
    </row>
    <row r="77" spans="1:17">
      <c r="A77" s="17"/>
      <c r="B77" s="17"/>
      <c r="C77" s="188"/>
      <c r="D77" s="69" t="s">
        <v>129</v>
      </c>
      <c r="F77" s="296">
        <f>SUM(F22:F74)</f>
        <v>1996.85</v>
      </c>
      <c r="G77" s="204"/>
      <c r="H77" s="17"/>
      <c r="I77" s="69" t="s">
        <v>129</v>
      </c>
      <c r="K77" s="337">
        <f>SUM(K22:K74)</f>
        <v>1699.872308462694</v>
      </c>
      <c r="P77"/>
      <c r="Q77"/>
    </row>
    <row r="78" spans="1:17">
      <c r="A78" s="17"/>
      <c r="B78" s="17"/>
      <c r="C78" s="188"/>
      <c r="D78" s="18" t="s">
        <v>130</v>
      </c>
      <c r="E78" s="25"/>
      <c r="F78" s="144">
        <f>F77+E75</f>
        <v>1996.85</v>
      </c>
      <c r="G78" s="43"/>
      <c r="H78" s="42"/>
      <c r="I78" s="18" t="s">
        <v>130</v>
      </c>
      <c r="J78" s="25"/>
      <c r="K78" s="336">
        <f>K77+J75</f>
        <v>1699.872308462694</v>
      </c>
      <c r="P78"/>
      <c r="Q78"/>
    </row>
    <row r="79" spans="1:17">
      <c r="A79" s="17"/>
      <c r="B79" s="16"/>
      <c r="C79" s="188"/>
      <c r="D79" s="17"/>
      <c r="E79" s="17"/>
      <c r="F79" s="205"/>
      <c r="G79" s="43"/>
      <c r="H79" s="17"/>
      <c r="I79" s="17"/>
      <c r="J79" s="17"/>
      <c r="P79"/>
      <c r="Q79"/>
    </row>
    <row r="80" spans="1:17" ht="19">
      <c r="A80" s="118" t="s">
        <v>100</v>
      </c>
      <c r="B80" s="491" t="s">
        <v>99</v>
      </c>
      <c r="C80" s="491"/>
      <c r="D80" s="17"/>
      <c r="E80" s="17"/>
      <c r="F80" s="18"/>
      <c r="G80" s="18"/>
      <c r="H80" s="17"/>
      <c r="I80" s="17"/>
      <c r="J80" s="17"/>
      <c r="P80"/>
      <c r="Q80"/>
    </row>
    <row r="81" spans="1:17" ht="409" customHeight="1">
      <c r="A81" s="17"/>
      <c r="B81" s="16"/>
      <c r="C81" s="228"/>
      <c r="D81" s="17"/>
      <c r="E81" s="17"/>
      <c r="F81" s="18"/>
      <c r="G81" s="18"/>
      <c r="H81" s="17"/>
      <c r="I81" s="17"/>
      <c r="J81" s="17"/>
      <c r="K81" s="18"/>
      <c r="P81"/>
      <c r="Q81"/>
    </row>
    <row r="82" spans="1:17">
      <c r="A82" s="17"/>
      <c r="B82" s="16"/>
      <c r="C82" s="188"/>
      <c r="D82" s="17"/>
      <c r="E82" s="17"/>
      <c r="F82" s="18"/>
      <c r="G82" s="18"/>
      <c r="H82" s="17"/>
      <c r="I82" s="17"/>
      <c r="J82" s="17"/>
      <c r="P82"/>
      <c r="Q82"/>
    </row>
    <row r="83" spans="1:17">
      <c r="A83" s="17"/>
      <c r="B83" s="16"/>
      <c r="C83" s="188"/>
      <c r="D83" s="17"/>
      <c r="E83" s="17"/>
      <c r="F83" s="18"/>
      <c r="G83" s="18"/>
      <c r="H83" s="17"/>
      <c r="I83" s="17"/>
      <c r="J83" s="17"/>
      <c r="P83"/>
      <c r="Q83"/>
    </row>
    <row r="84" spans="1:17">
      <c r="F84" s="18"/>
      <c r="G84" s="18"/>
      <c r="J84" s="330"/>
      <c r="N84"/>
      <c r="O84"/>
      <c r="P84"/>
      <c r="Q84"/>
    </row>
    <row r="85" spans="1:17">
      <c r="F85" s="206"/>
      <c r="N85"/>
      <c r="O85"/>
      <c r="P85"/>
      <c r="Q85"/>
    </row>
    <row r="86" spans="1:17">
      <c r="B86"/>
      <c r="C86"/>
      <c r="N86"/>
      <c r="O86"/>
      <c r="P86"/>
      <c r="Q86"/>
    </row>
    <row r="87" spans="1:17">
      <c r="B87"/>
      <c r="C87"/>
      <c r="N87"/>
      <c r="O87"/>
      <c r="P87"/>
      <c r="Q87"/>
    </row>
    <row r="88" spans="1:17">
      <c r="B88"/>
      <c r="C88"/>
      <c r="N88"/>
      <c r="O88"/>
      <c r="P88"/>
      <c r="Q88"/>
    </row>
    <row r="89" spans="1:17">
      <c r="B89"/>
      <c r="C89"/>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F100"/>
      <c r="G100"/>
      <c r="K100" s="235"/>
      <c r="N100"/>
      <c r="O100"/>
      <c r="P100"/>
      <c r="Q100"/>
    </row>
    <row r="101" spans="2:17">
      <c r="B101"/>
      <c r="C101"/>
      <c r="F101"/>
      <c r="G101"/>
      <c r="K101" s="235"/>
      <c r="N101"/>
      <c r="O101"/>
      <c r="P101"/>
      <c r="Q101"/>
    </row>
    <row r="102" spans="2:17">
      <c r="B102"/>
      <c r="C102"/>
      <c r="F102"/>
      <c r="G102"/>
      <c r="K102" s="235"/>
      <c r="N102"/>
      <c r="O102"/>
      <c r="P102"/>
      <c r="Q102"/>
    </row>
    <row r="103" spans="2:17">
      <c r="B103"/>
      <c r="C103"/>
      <c r="F103"/>
      <c r="G103"/>
      <c r="K103" s="235"/>
      <c r="N103"/>
      <c r="O103"/>
      <c r="P103"/>
      <c r="Q103"/>
    </row>
    <row r="104" spans="2:17">
      <c r="B104"/>
      <c r="C104"/>
      <c r="F104"/>
      <c r="G104"/>
      <c r="K104" s="235"/>
      <c r="N104"/>
      <c r="O104"/>
      <c r="P104"/>
      <c r="Q104"/>
    </row>
  </sheetData>
  <sheetProtection password="A5F4" sheet="1" objects="1" scenarios="1" selectLockedCells="1"/>
  <mergeCells count="8">
    <mergeCell ref="B80:C80"/>
    <mergeCell ref="D8:J8"/>
    <mergeCell ref="B15:J15"/>
    <mergeCell ref="A18:A19"/>
    <mergeCell ref="B18:B19"/>
    <mergeCell ref="D18:E18"/>
    <mergeCell ref="H18:H19"/>
    <mergeCell ref="I18:I19"/>
  </mergeCells>
  <dataValidations xWindow="781" yWindow="855" count="3">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Objectif du jour" prompt="Entrez ici l'apport calorique souhaité._x000d_Arrondissez à la centaine inférieure ou supérieure l'estimation obtenue avec le calculateur du feuillet &quot;bilan&quot;._x000d_Cet objectif est ensuite figé pour la totalité de l'exercice (14 jours)." sqref="D7"/>
    <dataValidation allowBlank="1" showErrorMessage="1" promptTitle="Modification des quantités" prompt="Vous pouvez diminuer ou augmenter la quantité,._x000d_Si vous désirez supprimer l'aliment, inscrivez 0 (zéro)." sqref="A1:A1048576"/>
  </dataValidations>
  <hyperlinks>
    <hyperlink ref="B80" location="sommaire!A1" display="RETOUR AU SOMMAIRE"/>
    <hyperlink ref="C80" location="sommaire!A1" display="sommaire!A1"/>
  </hyperlinks>
  <pageMargins left="0.75" right="0.75" top="1" bottom="1" header="0.5" footer="0.5"/>
  <ignoredErrors>
    <ignoredError sqref="K77" emptyCellReference="1"/>
  </ignoredErrors>
  <extLst>
    <ext xmlns:x14="http://schemas.microsoft.com/office/spreadsheetml/2009/9/main" uri="{CCE6A557-97BC-4b89-ADB6-D9C93CAAB3DF}">
      <x14:dataValidations xmlns:xm="http://schemas.microsoft.com/office/excel/2006/main" xWindow="781" yWindow="855"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0"/>
  <sheetViews>
    <sheetView workbookViewId="0">
      <selection activeCell="D5" sqref="D5"/>
    </sheetView>
  </sheetViews>
  <sheetFormatPr baseColWidth="10" defaultRowHeight="15" x14ac:dyDescent="0"/>
  <cols>
    <col min="1" max="1" width="6.33203125" customWidth="1"/>
    <col min="2" max="2" width="36"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8.6640625" style="407" customWidth="1"/>
    <col min="14" max="14" width="3.33203125" style="44" customWidth="1"/>
    <col min="15" max="17" width="10.83203125" style="44"/>
  </cols>
  <sheetData>
    <row r="1" spans="1:17" ht="19">
      <c r="A1" s="207" t="s">
        <v>732</v>
      </c>
      <c r="B1" s="120"/>
      <c r="C1" s="187"/>
      <c r="D1" s="121"/>
      <c r="E1" s="121"/>
      <c r="F1" s="122"/>
      <c r="G1" s="122"/>
      <c r="H1" s="122"/>
      <c r="I1" s="123" t="s">
        <v>101</v>
      </c>
      <c r="J1" s="183" t="s">
        <v>675</v>
      </c>
      <c r="N1"/>
      <c r="O1"/>
      <c r="P1"/>
      <c r="Q1"/>
    </row>
    <row r="2" spans="1:17">
      <c r="A2" s="17"/>
      <c r="B2" s="16" t="s">
        <v>12</v>
      </c>
      <c r="C2" s="188"/>
      <c r="D2" s="17"/>
      <c r="E2" s="17"/>
      <c r="F2" s="18"/>
      <c r="G2" s="18"/>
      <c r="H2" s="17"/>
      <c r="I2" s="17"/>
      <c r="J2" s="17"/>
      <c r="N2"/>
      <c r="O2"/>
      <c r="P2"/>
      <c r="Q2"/>
    </row>
    <row r="3" spans="1:17">
      <c r="A3" s="16" t="s">
        <v>19</v>
      </c>
      <c r="B3" s="16"/>
      <c r="C3" s="188"/>
      <c r="D3" s="15">
        <f>ROUND(F73,0)</f>
        <v>2003</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36"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9"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303</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D3+E71-D11</f>
        <v>303</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280"/>
      <c r="D18" s="481" t="s">
        <v>7</v>
      </c>
      <c r="E18" s="482"/>
      <c r="F18" s="18"/>
      <c r="G18" s="43"/>
      <c r="H18" s="487" t="str">
        <f>A18</f>
        <v>g/cl</v>
      </c>
      <c r="I18" s="489" t="str">
        <f>B18</f>
        <v>Ingrédients</v>
      </c>
      <c r="J18" s="70" t="s">
        <v>7</v>
      </c>
      <c r="M18" s="411">
        <f>100-(D12/((D11+D12)/100))</f>
        <v>84.872690963554675</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83" t="s">
        <v>244</v>
      </c>
      <c r="B21" s="283"/>
      <c r="C21" s="284"/>
      <c r="D21" s="285"/>
      <c r="E21" s="17"/>
      <c r="F21" s="18"/>
      <c r="G21" s="43"/>
      <c r="H21" s="17"/>
      <c r="I21" s="17"/>
      <c r="J21" s="17"/>
      <c r="L21" s="154"/>
      <c r="P21"/>
      <c r="Q21"/>
    </row>
    <row r="22" spans="1:17">
      <c r="A22" s="454">
        <v>50</v>
      </c>
      <c r="B22" s="286" t="s">
        <v>160</v>
      </c>
      <c r="C22" s="287" t="s">
        <v>673</v>
      </c>
      <c r="D22" s="288">
        <v>382</v>
      </c>
      <c r="E22" s="49">
        <f t="shared" ref="E22:E27" si="0">D22/100*A22</f>
        <v>191</v>
      </c>
      <c r="F22" s="18"/>
      <c r="G22" s="43"/>
      <c r="H22" s="55">
        <f t="shared" ref="H22:H27" si="1">IF(E22=0,A22,A22/E22*J22)</f>
        <v>42.436345481777337</v>
      </c>
      <c r="I22" s="2" t="str">
        <f t="shared" ref="I22:I27" si="2">B22</f>
        <v>céréales au miel</v>
      </c>
      <c r="J22" s="49">
        <f>E22*$M$18%</f>
        <v>162.10683974038943</v>
      </c>
      <c r="M22" s="411"/>
      <c r="Q22"/>
    </row>
    <row r="23" spans="1:17">
      <c r="A23" s="453">
        <v>150</v>
      </c>
      <c r="B23" s="289" t="s">
        <v>1</v>
      </c>
      <c r="C23" s="290"/>
      <c r="D23" s="291">
        <v>0</v>
      </c>
      <c r="E23" s="49">
        <f t="shared" si="0"/>
        <v>0</v>
      </c>
      <c r="F23" s="18"/>
      <c r="G23" s="43"/>
      <c r="H23" s="55">
        <f t="shared" si="1"/>
        <v>150</v>
      </c>
      <c r="I23" s="2" t="str">
        <f t="shared" si="2"/>
        <v>café</v>
      </c>
      <c r="J23" s="49">
        <f t="shared" ref="J23:J27" si="3">E23*$M$18%</f>
        <v>0</v>
      </c>
      <c r="Q23"/>
    </row>
    <row r="24" spans="1:17">
      <c r="A24" s="453">
        <v>4</v>
      </c>
      <c r="B24" s="289" t="s">
        <v>2</v>
      </c>
      <c r="C24" s="292" t="s">
        <v>674</v>
      </c>
      <c r="D24" s="291">
        <v>400</v>
      </c>
      <c r="E24" s="49">
        <f t="shared" si="0"/>
        <v>16</v>
      </c>
      <c r="F24" s="18"/>
      <c r="G24" s="43"/>
      <c r="H24" s="55">
        <f t="shared" si="1"/>
        <v>3.394907638542187</v>
      </c>
      <c r="I24" s="2" t="str">
        <f t="shared" si="2"/>
        <v>sucre</v>
      </c>
      <c r="J24" s="49">
        <f t="shared" si="3"/>
        <v>13.579630554168748</v>
      </c>
      <c r="O24" s="45"/>
      <c r="Q24"/>
    </row>
    <row r="25" spans="1:17">
      <c r="A25" s="453">
        <v>12</v>
      </c>
      <c r="B25" s="289" t="s">
        <v>5</v>
      </c>
      <c r="C25" s="293" t="s">
        <v>673</v>
      </c>
      <c r="D25" s="291">
        <v>161</v>
      </c>
      <c r="E25" s="49">
        <f t="shared" si="0"/>
        <v>19.32</v>
      </c>
      <c r="F25" s="18"/>
      <c r="G25" s="43"/>
      <c r="H25" s="55">
        <f t="shared" si="1"/>
        <v>10.18472291562656</v>
      </c>
      <c r="I25" s="2" t="str">
        <f t="shared" si="2"/>
        <v>crème à café</v>
      </c>
      <c r="J25" s="49">
        <f t="shared" si="3"/>
        <v>16.397403894158764</v>
      </c>
      <c r="O25" s="45"/>
      <c r="Q25"/>
    </row>
    <row r="26" spans="1:17">
      <c r="A26" s="453">
        <v>125</v>
      </c>
      <c r="B26" s="289" t="s">
        <v>123</v>
      </c>
      <c r="C26" s="294" t="s">
        <v>675</v>
      </c>
      <c r="D26" s="291">
        <v>87</v>
      </c>
      <c r="E26" s="49">
        <f t="shared" si="0"/>
        <v>108.75</v>
      </c>
      <c r="F26" s="18"/>
      <c r="G26" s="43"/>
      <c r="H26" s="55">
        <f t="shared" si="1"/>
        <v>106.09086370444335</v>
      </c>
      <c r="I26" s="2" t="str">
        <f t="shared" si="2"/>
        <v>yogourt aux fruits</v>
      </c>
      <c r="J26" s="49">
        <f t="shared" si="3"/>
        <v>92.299051422865716</v>
      </c>
      <c r="O26" s="45"/>
      <c r="Q26"/>
    </row>
    <row r="27" spans="1:17">
      <c r="A27" s="453">
        <v>150</v>
      </c>
      <c r="B27" s="289" t="s">
        <v>103</v>
      </c>
      <c r="C27" s="294" t="s">
        <v>675</v>
      </c>
      <c r="D27" s="291">
        <v>45</v>
      </c>
      <c r="E27" s="49">
        <f t="shared" si="0"/>
        <v>67.5</v>
      </c>
      <c r="F27" s="18"/>
      <c r="G27" s="43"/>
      <c r="H27" s="55">
        <f t="shared" si="1"/>
        <v>127.30903644533203</v>
      </c>
      <c r="I27" s="2" t="str">
        <f t="shared" si="2"/>
        <v>jus d'orange maison</v>
      </c>
      <c r="J27" s="49">
        <f t="shared" si="3"/>
        <v>57.289066400399406</v>
      </c>
      <c r="O27" s="45"/>
      <c r="Q27"/>
    </row>
    <row r="28" spans="1:17">
      <c r="A28" s="42"/>
      <c r="B28" s="131"/>
      <c r="C28" s="200"/>
      <c r="E28" s="130" t="s">
        <v>6</v>
      </c>
      <c r="F28" s="135">
        <f>SUM(E22:E27)</f>
        <v>402.57</v>
      </c>
      <c r="G28" s="128"/>
      <c r="H28" s="42"/>
      <c r="I28" s="131"/>
      <c r="J28" s="130" t="s">
        <v>6</v>
      </c>
      <c r="K28" s="336">
        <f>SUM(J22:J27)</f>
        <v>341.67199201198207</v>
      </c>
      <c r="O28" s="45"/>
      <c r="Q28"/>
    </row>
    <row r="29" spans="1:17">
      <c r="A29" s="216" t="s">
        <v>225</v>
      </c>
      <c r="B29" s="16"/>
      <c r="C29" s="209"/>
      <c r="D29" s="17"/>
      <c r="E29" s="17"/>
      <c r="F29" s="18"/>
      <c r="G29" s="43"/>
      <c r="H29" s="17"/>
      <c r="I29" s="17"/>
      <c r="J29" s="17"/>
      <c r="P29"/>
      <c r="Q29"/>
    </row>
    <row r="30" spans="1:17">
      <c r="A30" s="66" t="s">
        <v>351</v>
      </c>
      <c r="B30" s="257"/>
      <c r="C30" s="257"/>
      <c r="D30" s="257"/>
      <c r="E30" s="257"/>
      <c r="F30" s="257"/>
      <c r="G30" s="257"/>
      <c r="H30" s="257"/>
      <c r="I30" s="257"/>
      <c r="J30" s="258"/>
      <c r="L30" s="154"/>
      <c r="O30" s="45"/>
      <c r="Q30"/>
    </row>
    <row r="31" spans="1:17" ht="15" customHeight="1">
      <c r="A31" s="439">
        <f>150/4</f>
        <v>37.5</v>
      </c>
      <c r="B31" s="295" t="s">
        <v>353</v>
      </c>
      <c r="C31" s="273" t="s">
        <v>676</v>
      </c>
      <c r="D31" s="253">
        <v>32</v>
      </c>
      <c r="E31" s="49">
        <f t="shared" ref="E31:E43" si="4">D31/100*A31</f>
        <v>12</v>
      </c>
      <c r="F31" s="68"/>
      <c r="G31" s="128"/>
      <c r="H31" s="55">
        <f t="shared" ref="H31:H43" si="5">IF(E31=0,A31,A31/E31*J31)</f>
        <v>31.827259111333007</v>
      </c>
      <c r="I31" s="2" t="str">
        <f t="shared" ref="I31:I45" si="6">B31</f>
        <v xml:space="preserve">bolets _x000D_ </v>
      </c>
      <c r="J31" s="49">
        <f t="shared" ref="J31:J45" si="7">E31*$M$18%</f>
        <v>10.184722915626562</v>
      </c>
      <c r="L31" s="154"/>
      <c r="O31" s="45"/>
      <c r="Q31"/>
    </row>
    <row r="32" spans="1:17">
      <c r="A32" s="439">
        <f t="shared" ref="A32:A33" si="8">150/4</f>
        <v>37.5</v>
      </c>
      <c r="B32" s="2" t="s">
        <v>354</v>
      </c>
      <c r="C32" s="273" t="s">
        <v>676</v>
      </c>
      <c r="D32" s="253">
        <v>33</v>
      </c>
      <c r="E32" s="49">
        <f t="shared" si="4"/>
        <v>12.375</v>
      </c>
      <c r="F32" s="68"/>
      <c r="G32" s="128"/>
      <c r="H32" s="55">
        <f t="shared" si="5"/>
        <v>31.827259111333003</v>
      </c>
      <c r="I32" s="2" t="str">
        <f t="shared" si="6"/>
        <v xml:space="preserve">chanterelles </v>
      </c>
      <c r="J32" s="49">
        <f t="shared" si="7"/>
        <v>10.502995506739891</v>
      </c>
      <c r="O32" s="45"/>
      <c r="Q32"/>
    </row>
    <row r="33" spans="1:17">
      <c r="A33" s="439">
        <f t="shared" si="8"/>
        <v>37.5</v>
      </c>
      <c r="B33" s="2" t="s">
        <v>355</v>
      </c>
      <c r="C33" s="273" t="s">
        <v>676</v>
      </c>
      <c r="D33" s="253">
        <v>31</v>
      </c>
      <c r="E33" s="49">
        <f t="shared" si="4"/>
        <v>11.625</v>
      </c>
      <c r="F33" s="68"/>
      <c r="G33" s="128"/>
      <c r="H33" s="55">
        <f t="shared" si="5"/>
        <v>31.827259111332999</v>
      </c>
      <c r="I33" s="2" t="str">
        <f t="shared" si="6"/>
        <v>champignons de Paris</v>
      </c>
      <c r="J33" s="49">
        <f t="shared" si="7"/>
        <v>9.8664503245132309</v>
      </c>
      <c r="O33" s="45"/>
      <c r="Q33"/>
    </row>
    <row r="34" spans="1:17">
      <c r="A34" s="439">
        <v>25</v>
      </c>
      <c r="B34" s="2" t="s">
        <v>271</v>
      </c>
      <c r="C34" s="273" t="s">
        <v>676</v>
      </c>
      <c r="D34" s="253">
        <v>29</v>
      </c>
      <c r="E34" s="49">
        <f t="shared" si="4"/>
        <v>7.2499999999999991</v>
      </c>
      <c r="F34" s="68"/>
      <c r="G34" s="128"/>
      <c r="H34" s="55">
        <f t="shared" si="5"/>
        <v>21.218172740888665</v>
      </c>
      <c r="I34" s="2" t="str">
        <f t="shared" si="6"/>
        <v>oignon</v>
      </c>
      <c r="J34" s="49">
        <f t="shared" si="7"/>
        <v>6.1532700948577128</v>
      </c>
      <c r="O34" s="45"/>
      <c r="Q34"/>
    </row>
    <row r="35" spans="1:17">
      <c r="A35" s="439"/>
      <c r="B35" s="2" t="s">
        <v>356</v>
      </c>
      <c r="C35" s="276"/>
      <c r="D35" s="253"/>
      <c r="E35" s="49">
        <f t="shared" si="4"/>
        <v>0</v>
      </c>
      <c r="F35" s="68"/>
      <c r="G35" s="128"/>
      <c r="H35" s="55">
        <f t="shared" si="5"/>
        <v>0</v>
      </c>
      <c r="I35" s="2" t="str">
        <f t="shared" si="6"/>
        <v>sauge</v>
      </c>
      <c r="J35" s="49">
        <f t="shared" si="7"/>
        <v>0</v>
      </c>
      <c r="O35" s="45"/>
      <c r="Q35"/>
    </row>
    <row r="36" spans="1:17">
      <c r="A36" s="439">
        <v>6</v>
      </c>
      <c r="B36" s="298" t="s">
        <v>108</v>
      </c>
      <c r="C36" s="292" t="s">
        <v>674</v>
      </c>
      <c r="D36" s="253">
        <v>899</v>
      </c>
      <c r="E36" s="49">
        <f t="shared" si="4"/>
        <v>53.94</v>
      </c>
      <c r="F36" s="68"/>
      <c r="G36" s="128"/>
      <c r="H36" s="55">
        <f t="shared" si="5"/>
        <v>5.092361457813281</v>
      </c>
      <c r="I36" s="2" t="str">
        <f t="shared" si="6"/>
        <v>huile d'olive</v>
      </c>
      <c r="J36" s="49">
        <f t="shared" si="7"/>
        <v>45.780329505741392</v>
      </c>
      <c r="O36" s="45"/>
      <c r="Q36"/>
    </row>
    <row r="37" spans="1:17">
      <c r="A37" s="439">
        <v>75</v>
      </c>
      <c r="B37" s="2" t="s">
        <v>357</v>
      </c>
      <c r="C37" s="196" t="s">
        <v>673</v>
      </c>
      <c r="D37" s="253">
        <v>349</v>
      </c>
      <c r="E37" s="49">
        <f t="shared" si="4"/>
        <v>261.75</v>
      </c>
      <c r="F37" s="68"/>
      <c r="G37" s="128"/>
      <c r="H37" s="55">
        <f t="shared" si="5"/>
        <v>63.654518222666006</v>
      </c>
      <c r="I37" s="2" t="str">
        <f t="shared" si="6"/>
        <v>riz pour risotto</v>
      </c>
      <c r="J37" s="49">
        <f t="shared" si="7"/>
        <v>222.15426859710436</v>
      </c>
      <c r="O37" s="45"/>
      <c r="Q37"/>
    </row>
    <row r="38" spans="1:17">
      <c r="A38" s="439"/>
      <c r="B38" s="2" t="s">
        <v>317</v>
      </c>
      <c r="C38" s="276"/>
      <c r="D38" s="253"/>
      <c r="E38" s="49">
        <f t="shared" si="4"/>
        <v>0</v>
      </c>
      <c r="F38" s="68"/>
      <c r="G38" s="128"/>
      <c r="H38" s="55">
        <f t="shared" si="5"/>
        <v>0</v>
      </c>
      <c r="I38" s="2" t="str">
        <f t="shared" si="6"/>
        <v>vin blanc</v>
      </c>
      <c r="J38" s="49">
        <f t="shared" si="7"/>
        <v>0</v>
      </c>
      <c r="O38" s="45"/>
      <c r="Q38"/>
    </row>
    <row r="39" spans="1:17">
      <c r="A39" s="439">
        <v>200</v>
      </c>
      <c r="B39" s="2" t="s">
        <v>117</v>
      </c>
      <c r="C39" s="273" t="s">
        <v>676</v>
      </c>
      <c r="D39" s="253">
        <v>6</v>
      </c>
      <c r="E39" s="49">
        <f t="shared" si="4"/>
        <v>12</v>
      </c>
      <c r="F39" s="68"/>
      <c r="G39" s="128"/>
      <c r="H39" s="55">
        <f t="shared" si="5"/>
        <v>169.74538192710938</v>
      </c>
      <c r="I39" s="2" t="str">
        <f t="shared" si="6"/>
        <v>bouillon de légumes</v>
      </c>
      <c r="J39" s="49">
        <f t="shared" si="7"/>
        <v>10.184722915626562</v>
      </c>
      <c r="O39" s="45"/>
      <c r="Q39"/>
    </row>
    <row r="40" spans="1:17">
      <c r="A40" s="439">
        <v>3</v>
      </c>
      <c r="B40" s="2" t="s">
        <v>0</v>
      </c>
      <c r="C40" s="292" t="s">
        <v>674</v>
      </c>
      <c r="D40" s="253">
        <v>747</v>
      </c>
      <c r="E40" s="49">
        <f t="shared" si="4"/>
        <v>22.41</v>
      </c>
      <c r="F40" s="68"/>
      <c r="G40" s="128"/>
      <c r="H40" s="55">
        <f t="shared" si="5"/>
        <v>2.54618072890664</v>
      </c>
      <c r="I40" s="2" t="str">
        <f>B40</f>
        <v>beurre</v>
      </c>
      <c r="J40" s="49">
        <f>E40*$M$18%</f>
        <v>19.019970044932602</v>
      </c>
      <c r="O40" s="45"/>
      <c r="P40"/>
      <c r="Q40"/>
    </row>
    <row r="41" spans="1:17">
      <c r="A41" s="439">
        <v>12.5</v>
      </c>
      <c r="B41" s="2" t="s">
        <v>349</v>
      </c>
      <c r="C41" s="249" t="s">
        <v>677</v>
      </c>
      <c r="D41" s="253">
        <v>391</v>
      </c>
      <c r="E41" s="49">
        <f t="shared" si="4"/>
        <v>48.875</v>
      </c>
      <c r="F41" s="68"/>
      <c r="G41" s="128"/>
      <c r="H41" s="55">
        <f t="shared" si="5"/>
        <v>10.609086370444334</v>
      </c>
      <c r="I41" s="2" t="str">
        <f t="shared" si="6"/>
        <v>parmesan râpé</v>
      </c>
      <c r="J41" s="49">
        <f t="shared" si="7"/>
        <v>41.481527708437348</v>
      </c>
      <c r="O41" s="45"/>
      <c r="Q41"/>
    </row>
    <row r="42" spans="1:17">
      <c r="A42" s="439">
        <v>50</v>
      </c>
      <c r="B42" s="2" t="s">
        <v>350</v>
      </c>
      <c r="C42" s="273" t="s">
        <v>676</v>
      </c>
      <c r="D42" s="253">
        <v>20</v>
      </c>
      <c r="E42" s="49">
        <f t="shared" si="4"/>
        <v>10</v>
      </c>
      <c r="F42" s="68"/>
      <c r="G42" s="128"/>
      <c r="H42" s="55">
        <f t="shared" si="5"/>
        <v>42.436345481777337</v>
      </c>
      <c r="I42" s="2" t="str">
        <f t="shared" si="6"/>
        <v>rampon (mâche)</v>
      </c>
      <c r="J42" s="49">
        <f t="shared" si="7"/>
        <v>8.4872690963554671</v>
      </c>
      <c r="O42" s="45"/>
      <c r="Q42"/>
    </row>
    <row r="43" spans="1:17">
      <c r="A43" s="439">
        <v>12</v>
      </c>
      <c r="B43" s="2" t="s">
        <v>266</v>
      </c>
      <c r="C43" s="292" t="s">
        <v>674</v>
      </c>
      <c r="D43" s="253">
        <v>446</v>
      </c>
      <c r="E43" s="49">
        <f t="shared" si="4"/>
        <v>53.519999999999996</v>
      </c>
      <c r="F43" s="68"/>
      <c r="G43" s="128"/>
      <c r="H43" s="55">
        <f t="shared" si="5"/>
        <v>10.18472291562656</v>
      </c>
      <c r="I43" s="2" t="str">
        <f t="shared" si="6"/>
        <v>sauce à salade française</v>
      </c>
      <c r="J43" s="49">
        <f t="shared" si="7"/>
        <v>45.423864203694457</v>
      </c>
      <c r="O43" s="45"/>
      <c r="Q43"/>
    </row>
    <row r="44" spans="1:17">
      <c r="A44" s="66" t="s">
        <v>127</v>
      </c>
      <c r="B44" s="63"/>
      <c r="C44" s="202"/>
      <c r="D44" s="63"/>
      <c r="E44" s="64"/>
      <c r="F44" s="18"/>
      <c r="G44" s="43"/>
      <c r="H44" s="65"/>
      <c r="I44" s="63"/>
      <c r="J44" s="67"/>
      <c r="O44" s="45"/>
      <c r="Q44"/>
    </row>
    <row r="45" spans="1:17">
      <c r="A45" s="438">
        <v>150</v>
      </c>
      <c r="B45" s="2" t="s">
        <v>4</v>
      </c>
      <c r="C45" s="199" t="s">
        <v>675</v>
      </c>
      <c r="D45" s="51">
        <v>55</v>
      </c>
      <c r="E45" s="49">
        <f>D45/100*A45</f>
        <v>82.5</v>
      </c>
      <c r="F45" s="18"/>
      <c r="G45" s="43"/>
      <c r="H45" s="55">
        <f>IF(E45=0,A45,A45/E45*J45)</f>
        <v>127.30903644533201</v>
      </c>
      <c r="I45" s="56" t="str">
        <f t="shared" si="6"/>
        <v>pomme</v>
      </c>
      <c r="J45" s="49">
        <f t="shared" si="7"/>
        <v>70.019970044932606</v>
      </c>
      <c r="K45" s="275"/>
      <c r="O45" s="45"/>
      <c r="P45"/>
      <c r="Q45"/>
    </row>
    <row r="46" spans="1:17">
      <c r="A46" s="42"/>
      <c r="B46" s="131"/>
      <c r="C46" s="200"/>
      <c r="E46" s="130" t="s">
        <v>6</v>
      </c>
      <c r="F46" s="138">
        <f>SUM(E31:E45)</f>
        <v>588.245</v>
      </c>
      <c r="G46" s="128"/>
      <c r="H46" s="42"/>
      <c r="I46" s="131"/>
      <c r="J46" s="130" t="s">
        <v>6</v>
      </c>
      <c r="K46" s="336">
        <f>SUM(J31:J45)</f>
        <v>499.25936095856218</v>
      </c>
      <c r="O46" s="45"/>
      <c r="Q46"/>
    </row>
    <row r="47" spans="1:17" ht="6" customHeight="1">
      <c r="A47" s="17"/>
      <c r="B47" s="17"/>
      <c r="C47" s="188"/>
      <c r="D47" s="68"/>
      <c r="E47" s="17"/>
      <c r="F47" s="18"/>
      <c r="G47" s="43"/>
      <c r="H47" s="17"/>
      <c r="I47" s="17"/>
      <c r="J47" s="17"/>
      <c r="O47" s="45"/>
      <c r="P47"/>
      <c r="Q47"/>
    </row>
    <row r="48" spans="1:17">
      <c r="A48" s="216" t="s">
        <v>228</v>
      </c>
      <c r="B48" s="16"/>
      <c r="C48" s="209"/>
      <c r="D48" s="17"/>
      <c r="E48" s="17"/>
      <c r="F48" s="18"/>
      <c r="G48" s="43"/>
      <c r="H48" s="17"/>
      <c r="I48" s="17"/>
      <c r="J48" s="17"/>
      <c r="P48"/>
      <c r="Q48"/>
    </row>
    <row r="49" spans="1:17">
      <c r="A49" s="438">
        <v>150</v>
      </c>
      <c r="B49" s="107" t="s">
        <v>149</v>
      </c>
      <c r="C49" s="196" t="s">
        <v>673</v>
      </c>
      <c r="D49" s="51">
        <v>127</v>
      </c>
      <c r="E49" s="49">
        <f>D49/100*A49</f>
        <v>190.5</v>
      </c>
      <c r="F49" s="18"/>
      <c r="G49" s="43"/>
      <c r="H49" s="55">
        <f>IF(E49=0,A49,A49/E49*J49)</f>
        <v>127.30903644533201</v>
      </c>
      <c r="I49" s="2" t="str">
        <f>B49</f>
        <v xml:space="preserve">yogourt grec de brebis </v>
      </c>
      <c r="J49" s="49">
        <f>E49*$M$18%</f>
        <v>161.68247628557165</v>
      </c>
    </row>
    <row r="50" spans="1:17">
      <c r="A50" s="438">
        <v>6</v>
      </c>
      <c r="B50" s="2" t="s">
        <v>2</v>
      </c>
      <c r="C50" s="197" t="s">
        <v>674</v>
      </c>
      <c r="D50" s="51">
        <v>400</v>
      </c>
      <c r="E50" s="49">
        <f>D50/100*A50</f>
        <v>24</v>
      </c>
      <c r="F50" s="18"/>
      <c r="G50" s="43"/>
      <c r="H50" s="55">
        <f>IF(E50=0,A50,A50/E50*J50)</f>
        <v>5.092361457813281</v>
      </c>
      <c r="I50" s="2" t="str">
        <f>B50</f>
        <v>sucre</v>
      </c>
      <c r="J50" s="49">
        <f>E50*$M$18%</f>
        <v>20.369445831253124</v>
      </c>
      <c r="L50" s="154"/>
    </row>
    <row r="51" spans="1:17">
      <c r="A51" s="42"/>
      <c r="B51" s="157"/>
      <c r="C51" s="272"/>
      <c r="E51" s="130" t="s">
        <v>6</v>
      </c>
      <c r="F51" s="175">
        <f>SUM(E49:E50)</f>
        <v>214.5</v>
      </c>
      <c r="G51" s="140"/>
      <c r="H51" s="42"/>
      <c r="I51" s="131"/>
      <c r="J51" s="130" t="s">
        <v>6</v>
      </c>
      <c r="K51" s="336">
        <f>SUM(J49:J50)</f>
        <v>182.05192211682478</v>
      </c>
      <c r="O51" s="45"/>
      <c r="Q51"/>
    </row>
    <row r="52" spans="1:17">
      <c r="A52" s="216" t="s">
        <v>226</v>
      </c>
      <c r="B52" s="16"/>
      <c r="C52" s="209"/>
      <c r="D52" s="17"/>
      <c r="E52" s="17"/>
      <c r="F52" s="18"/>
      <c r="G52" s="43"/>
      <c r="H52" s="17"/>
      <c r="I52" s="17"/>
      <c r="J52" s="17"/>
      <c r="P52"/>
      <c r="Q52"/>
    </row>
    <row r="53" spans="1:17">
      <c r="A53" s="66" t="s">
        <v>352</v>
      </c>
      <c r="B53" s="257"/>
      <c r="C53" s="257"/>
      <c r="D53" s="257"/>
      <c r="E53" s="257"/>
      <c r="F53" s="257"/>
      <c r="G53" s="257"/>
      <c r="H53" s="257"/>
      <c r="I53" s="257"/>
      <c r="J53" s="258"/>
      <c r="M53" s="412"/>
      <c r="O53" s="45"/>
      <c r="Q53"/>
    </row>
    <row r="54" spans="1:17">
      <c r="A54" s="439">
        <v>100</v>
      </c>
      <c r="B54" s="2" t="s">
        <v>335</v>
      </c>
      <c r="C54" s="249" t="s">
        <v>677</v>
      </c>
      <c r="D54" s="51">
        <v>320</v>
      </c>
      <c r="E54" s="49">
        <f t="shared" ref="E54:E66" si="9">D54/100*A54</f>
        <v>320</v>
      </c>
      <c r="F54" s="68"/>
      <c r="G54" s="128"/>
      <c r="H54" s="55">
        <f t="shared" ref="H54:H66" si="10">IF(E54=0,A54,A54/E54*J54)</f>
        <v>84.872690963554675</v>
      </c>
      <c r="I54" s="2" t="str">
        <f t="shared" ref="I54:I66" si="11">B54</f>
        <v>saucisse de Morteau</v>
      </c>
      <c r="J54" s="49">
        <f t="shared" ref="J54:J71" si="12">E54*$M$18%</f>
        <v>271.59261108337495</v>
      </c>
      <c r="L54" s="154"/>
      <c r="M54" s="412"/>
      <c r="O54" s="45"/>
      <c r="P54"/>
      <c r="Q54"/>
    </row>
    <row r="55" spans="1:17">
      <c r="A55" s="439">
        <v>100</v>
      </c>
      <c r="B55" s="251" t="s">
        <v>139</v>
      </c>
      <c r="C55" s="273" t="s">
        <v>676</v>
      </c>
      <c r="D55" s="253">
        <v>31</v>
      </c>
      <c r="E55" s="49">
        <v>30</v>
      </c>
      <c r="F55" s="68"/>
      <c r="G55" s="128"/>
      <c r="H55" s="55">
        <f t="shared" si="10"/>
        <v>84.872690963554675</v>
      </c>
      <c r="I55" s="2" t="str">
        <f t="shared" si="11"/>
        <v>poireau</v>
      </c>
      <c r="J55" s="49">
        <f t="shared" si="12"/>
        <v>25.461807289066403</v>
      </c>
      <c r="L55" s="154"/>
      <c r="M55" s="412"/>
      <c r="O55" s="45"/>
      <c r="P55"/>
      <c r="Q55"/>
    </row>
    <row r="56" spans="1:17">
      <c r="A56" s="439">
        <v>3</v>
      </c>
      <c r="B56" s="251" t="s">
        <v>108</v>
      </c>
      <c r="C56" s="197" t="s">
        <v>674</v>
      </c>
      <c r="D56" s="253">
        <v>899</v>
      </c>
      <c r="E56" s="49">
        <f t="shared" si="9"/>
        <v>26.97</v>
      </c>
      <c r="F56" s="68"/>
      <c r="G56" s="128"/>
      <c r="H56" s="55">
        <f t="shared" si="10"/>
        <v>2.5461807289066405</v>
      </c>
      <c r="I56" s="2" t="str">
        <f t="shared" si="11"/>
        <v>huile d'olive</v>
      </c>
      <c r="J56" s="49">
        <f t="shared" si="12"/>
        <v>22.890164752870696</v>
      </c>
      <c r="M56" s="412"/>
      <c r="O56" s="45"/>
      <c r="P56"/>
      <c r="Q56"/>
    </row>
    <row r="57" spans="1:17">
      <c r="A57" s="439"/>
      <c r="B57" s="251" t="s">
        <v>317</v>
      </c>
      <c r="C57" s="276"/>
      <c r="D57" s="253"/>
      <c r="E57" s="49">
        <f t="shared" si="9"/>
        <v>0</v>
      </c>
      <c r="F57" s="68"/>
      <c r="G57" s="128"/>
      <c r="H57" s="55">
        <f t="shared" si="10"/>
        <v>0</v>
      </c>
      <c r="I57" s="2" t="str">
        <f t="shared" si="11"/>
        <v>vin blanc</v>
      </c>
      <c r="J57" s="49">
        <f t="shared" si="12"/>
        <v>0</v>
      </c>
      <c r="M57" s="412"/>
      <c r="O57" s="45"/>
      <c r="P57"/>
      <c r="Q57"/>
    </row>
    <row r="58" spans="1:17">
      <c r="A58" s="439">
        <f>250/4</f>
        <v>62.5</v>
      </c>
      <c r="B58" s="251" t="s">
        <v>358</v>
      </c>
      <c r="C58" s="249" t="s">
        <v>677</v>
      </c>
      <c r="D58" s="253">
        <v>324</v>
      </c>
      <c r="E58" s="49">
        <f t="shared" si="9"/>
        <v>202.5</v>
      </c>
      <c r="F58" s="68"/>
      <c r="G58" s="128"/>
      <c r="H58" s="55">
        <f t="shared" si="10"/>
        <v>53.045431852221668</v>
      </c>
      <c r="I58" s="2" t="str">
        <f t="shared" si="11"/>
        <v>abaisse de pâte à pizza rectangulaire</v>
      </c>
      <c r="J58" s="49">
        <f t="shared" si="12"/>
        <v>171.86719920119822</v>
      </c>
      <c r="M58" s="412"/>
      <c r="O58" s="45"/>
      <c r="P58"/>
      <c r="Q58"/>
    </row>
    <row r="59" spans="1:17">
      <c r="A59" s="439">
        <v>6</v>
      </c>
      <c r="B59" s="251" t="s">
        <v>333</v>
      </c>
      <c r="C59" s="196" t="s">
        <v>673</v>
      </c>
      <c r="D59" s="253">
        <v>134</v>
      </c>
      <c r="E59" s="49">
        <f t="shared" si="9"/>
        <v>8.0400000000000009</v>
      </c>
      <c r="F59" s="68"/>
      <c r="G59" s="128"/>
      <c r="H59" s="55">
        <f t="shared" si="10"/>
        <v>5.0923614578132801</v>
      </c>
      <c r="I59" s="2" t="str">
        <f t="shared" si="11"/>
        <v>moutarde gros grains</v>
      </c>
      <c r="J59" s="49">
        <f t="shared" si="12"/>
        <v>6.8237643534697963</v>
      </c>
      <c r="M59" s="412"/>
      <c r="O59" s="45"/>
      <c r="P59"/>
      <c r="Q59"/>
    </row>
    <row r="60" spans="1:17">
      <c r="A60" s="439">
        <v>15</v>
      </c>
      <c r="B60" s="251" t="s">
        <v>126</v>
      </c>
      <c r="C60" s="273" t="s">
        <v>676</v>
      </c>
      <c r="D60" s="253">
        <v>146</v>
      </c>
      <c r="E60" s="49">
        <f>D60/100*A60</f>
        <v>21.9</v>
      </c>
      <c r="F60" s="68"/>
      <c r="G60" s="128"/>
      <c r="H60" s="55">
        <f>IF(E60=0,A60,A60/E60*J60)</f>
        <v>12.730903644533202</v>
      </c>
      <c r="I60" s="2" t="str">
        <f>B60</f>
        <v>œuf</v>
      </c>
      <c r="J60" s="49">
        <f>E60*$M$18%</f>
        <v>18.587119321018474</v>
      </c>
      <c r="M60" s="412"/>
      <c r="O60" s="45"/>
      <c r="P60"/>
      <c r="Q60"/>
    </row>
    <row r="61" spans="1:17">
      <c r="A61" s="439">
        <v>1</v>
      </c>
      <c r="B61" s="251" t="s">
        <v>334</v>
      </c>
      <c r="C61" s="196" t="s">
        <v>673</v>
      </c>
      <c r="D61" s="253">
        <v>653</v>
      </c>
      <c r="E61" s="49">
        <f>D61/100*A61</f>
        <v>6.53</v>
      </c>
      <c r="F61" s="68"/>
      <c r="G61" s="128"/>
      <c r="H61" s="55">
        <f>IF(E61=0,A61,A61/E61*J61)</f>
        <v>0.84872690963554676</v>
      </c>
      <c r="I61" s="2" t="str">
        <f>B61</f>
        <v>graines de tournesol</v>
      </c>
      <c r="J61" s="49">
        <f>E61*$M$18%</f>
        <v>5.5421867199201209</v>
      </c>
      <c r="M61" s="412"/>
      <c r="O61" s="45"/>
      <c r="P61"/>
      <c r="Q61"/>
    </row>
    <row r="62" spans="1:17">
      <c r="A62" s="439">
        <v>50</v>
      </c>
      <c r="B62" s="251" t="s">
        <v>240</v>
      </c>
      <c r="C62" s="273" t="s">
        <v>676</v>
      </c>
      <c r="D62" s="253">
        <v>19</v>
      </c>
      <c r="E62" s="49">
        <f t="shared" si="9"/>
        <v>9.5</v>
      </c>
      <c r="F62" s="68"/>
      <c r="G62" s="128"/>
      <c r="H62" s="55">
        <f t="shared" ref="H62:H64" si="13">IF(E62=0,A62,A62/E62*J62)</f>
        <v>42.436345481777344</v>
      </c>
      <c r="I62" s="2" t="str">
        <f t="shared" ref="I62:I64" si="14">B62</f>
        <v>tomates</v>
      </c>
      <c r="J62" s="49">
        <f t="shared" ref="J62:J64" si="15">E62*$M$18%</f>
        <v>8.0629056415376947</v>
      </c>
      <c r="M62" s="412"/>
      <c r="O62" s="45"/>
      <c r="P62"/>
      <c r="Q62"/>
    </row>
    <row r="63" spans="1:17">
      <c r="A63" s="439">
        <v>3</v>
      </c>
      <c r="B63" s="251" t="s">
        <v>271</v>
      </c>
      <c r="C63" s="273" t="s">
        <v>676</v>
      </c>
      <c r="D63" s="253">
        <v>29</v>
      </c>
      <c r="E63" s="49">
        <f t="shared" si="9"/>
        <v>0.86999999999999988</v>
      </c>
      <c r="F63" s="68"/>
      <c r="G63" s="128"/>
      <c r="H63" s="55">
        <f t="shared" si="13"/>
        <v>2.5461807289066405</v>
      </c>
      <c r="I63" s="2" t="str">
        <f t="shared" si="14"/>
        <v>oignon</v>
      </c>
      <c r="J63" s="49">
        <f t="shared" si="15"/>
        <v>0.73839241138292555</v>
      </c>
      <c r="M63" s="412"/>
      <c r="O63" s="45"/>
      <c r="P63"/>
      <c r="Q63"/>
    </row>
    <row r="64" spans="1:17">
      <c r="A64" s="439">
        <v>12</v>
      </c>
      <c r="B64" s="251" t="s">
        <v>247</v>
      </c>
      <c r="C64" s="199" t="s">
        <v>675</v>
      </c>
      <c r="D64" s="253">
        <v>68</v>
      </c>
      <c r="E64" s="49">
        <f t="shared" si="9"/>
        <v>8.16</v>
      </c>
      <c r="F64" s="68"/>
      <c r="G64" s="128"/>
      <c r="H64" s="55">
        <f t="shared" si="13"/>
        <v>10.18472291562656</v>
      </c>
      <c r="I64" s="2" t="str">
        <f t="shared" si="14"/>
        <v>sauce salade au yogourt</v>
      </c>
      <c r="J64" s="49">
        <f t="shared" si="15"/>
        <v>6.925611582626062</v>
      </c>
      <c r="M64" s="412"/>
      <c r="O64" s="45"/>
      <c r="P64"/>
      <c r="Q64"/>
    </row>
    <row r="65" spans="1:17">
      <c r="A65" s="439">
        <v>0.5</v>
      </c>
      <c r="B65" s="251" t="s">
        <v>109</v>
      </c>
      <c r="C65" s="197" t="s">
        <v>674</v>
      </c>
      <c r="D65" s="253">
        <v>0</v>
      </c>
      <c r="E65" s="49">
        <f t="shared" si="9"/>
        <v>0</v>
      </c>
      <c r="F65" s="68"/>
      <c r="G65" s="128"/>
      <c r="H65" s="55">
        <f t="shared" si="10"/>
        <v>0.5</v>
      </c>
      <c r="I65" s="2" t="str">
        <f t="shared" si="11"/>
        <v>sel</v>
      </c>
      <c r="J65" s="49">
        <f t="shared" si="12"/>
        <v>0</v>
      </c>
      <c r="M65" s="412"/>
      <c r="O65" s="45"/>
      <c r="P65"/>
      <c r="Q65"/>
    </row>
    <row r="66" spans="1:17">
      <c r="A66" s="439">
        <v>0.25</v>
      </c>
      <c r="B66" s="2" t="s">
        <v>116</v>
      </c>
      <c r="C66" s="183" t="s">
        <v>675</v>
      </c>
      <c r="D66" s="51">
        <v>222</v>
      </c>
      <c r="E66" s="49">
        <f t="shared" si="9"/>
        <v>0.55500000000000005</v>
      </c>
      <c r="F66" s="68"/>
      <c r="G66" s="128"/>
      <c r="H66" s="55">
        <f t="shared" si="10"/>
        <v>0.21218172740888669</v>
      </c>
      <c r="I66" s="2" t="str">
        <f t="shared" si="11"/>
        <v>poivre</v>
      </c>
      <c r="J66" s="49">
        <f t="shared" si="12"/>
        <v>0.47104343484772848</v>
      </c>
      <c r="M66" s="412"/>
      <c r="O66" s="45"/>
      <c r="P66"/>
      <c r="Q66"/>
    </row>
    <row r="67" spans="1:17">
      <c r="A67" s="42"/>
      <c r="B67" s="131"/>
      <c r="C67" s="201"/>
      <c r="E67" s="130" t="s">
        <v>6</v>
      </c>
      <c r="F67" s="135">
        <f>SUM(E54:E66)</f>
        <v>635.02499999999986</v>
      </c>
      <c r="G67" s="140"/>
      <c r="H67" s="42"/>
      <c r="I67" s="131"/>
      <c r="J67" s="130" t="s">
        <v>6</v>
      </c>
      <c r="K67" s="336">
        <f>SUM(J54:J66)</f>
        <v>538.96280579131314</v>
      </c>
      <c r="L67" s="154"/>
      <c r="M67" s="412"/>
      <c r="O67" s="45"/>
      <c r="Q67"/>
    </row>
    <row r="68" spans="1:17">
      <c r="A68" s="66" t="s">
        <v>127</v>
      </c>
      <c r="B68" s="63"/>
      <c r="C68" s="202"/>
      <c r="D68" s="63"/>
      <c r="E68" s="64"/>
      <c r="F68" s="18"/>
      <c r="G68" s="43"/>
      <c r="H68" s="65"/>
      <c r="I68" s="63"/>
      <c r="J68" s="67"/>
      <c r="L68" s="154"/>
      <c r="O68" s="45"/>
      <c r="Q68"/>
    </row>
    <row r="69" spans="1:17">
      <c r="A69" s="438">
        <v>80</v>
      </c>
      <c r="B69" s="2" t="s">
        <v>277</v>
      </c>
      <c r="C69" s="249" t="s">
        <v>677</v>
      </c>
      <c r="D69" s="51">
        <v>203</v>
      </c>
      <c r="E69" s="49">
        <f>D69/100*A69</f>
        <v>162.39999999999998</v>
      </c>
      <c r="F69" s="18"/>
      <c r="G69" s="43"/>
      <c r="H69" s="55">
        <f>IF(E69=0,A69,A69/E69*J69)</f>
        <v>67.898152770843737</v>
      </c>
      <c r="I69" s="56" t="str">
        <f t="shared" ref="I69" si="16">B69</f>
        <v>glace</v>
      </c>
      <c r="J69" s="49">
        <f t="shared" ref="J69" si="17">E69*$M$18%</f>
        <v>137.83325012481276</v>
      </c>
      <c r="K69" s="275"/>
      <c r="L69" s="154"/>
      <c r="O69" s="45"/>
      <c r="P69"/>
      <c r="Q69"/>
    </row>
    <row r="70" spans="1:17">
      <c r="A70" s="42"/>
      <c r="B70" s="131"/>
      <c r="C70" s="201"/>
      <c r="E70" s="143" t="s">
        <v>6</v>
      </c>
      <c r="F70" s="274">
        <f>SUM(E69:E69)</f>
        <v>162.39999999999998</v>
      </c>
      <c r="G70" s="25"/>
      <c r="H70" s="42"/>
      <c r="I70" s="131"/>
      <c r="J70" s="143" t="s">
        <v>6</v>
      </c>
      <c r="K70" s="336">
        <f>SUM(J69:J69)</f>
        <v>137.83325012481276</v>
      </c>
      <c r="L70" s="154"/>
      <c r="O70" s="45"/>
      <c r="Q70"/>
    </row>
    <row r="71" spans="1:17">
      <c r="A71" s="54">
        <f>IF(D5="non",0,IF(D5="1 verre",125,250))</f>
        <v>0</v>
      </c>
      <c r="B71" s="2" t="str">
        <f>IF(A71=0,"","vin")</f>
        <v/>
      </c>
      <c r="C71" s="203"/>
      <c r="D71" s="51">
        <v>80</v>
      </c>
      <c r="E71" s="49">
        <f>D71/100*A71</f>
        <v>0</v>
      </c>
      <c r="G71" s="142"/>
      <c r="H71" s="55">
        <f>IF(E71=0,A71,A71/E71*J71)</f>
        <v>0</v>
      </c>
      <c r="I71" s="2" t="str">
        <f>B71</f>
        <v/>
      </c>
      <c r="J71" s="49">
        <f t="shared" si="12"/>
        <v>0</v>
      </c>
      <c r="K71" s="335"/>
      <c r="L71" s="154"/>
      <c r="O71" s="45"/>
      <c r="P71"/>
      <c r="Q71"/>
    </row>
    <row r="72" spans="1:17" ht="6" customHeight="1">
      <c r="A72" s="17"/>
      <c r="B72" s="17"/>
      <c r="C72" s="188"/>
      <c r="D72" s="68"/>
      <c r="E72" s="17"/>
      <c r="F72" s="18"/>
      <c r="G72" s="204"/>
      <c r="H72" s="17"/>
      <c r="I72" s="17"/>
      <c r="J72" s="17"/>
      <c r="K72" s="335"/>
      <c r="L72" s="154"/>
      <c r="P72"/>
      <c r="Q72"/>
    </row>
    <row r="73" spans="1:17">
      <c r="A73" s="17"/>
      <c r="B73" s="17"/>
      <c r="C73" s="188"/>
      <c r="D73" s="69" t="s">
        <v>129</v>
      </c>
      <c r="F73" s="297">
        <f>SUM(F22:F71)</f>
        <v>2002.7399999999998</v>
      </c>
      <c r="G73" s="204"/>
      <c r="H73" s="17"/>
      <c r="I73" s="69" t="s">
        <v>129</v>
      </c>
      <c r="K73" s="337">
        <f>SUM(K22:K70)</f>
        <v>1699.7793310034949</v>
      </c>
      <c r="L73" s="154"/>
      <c r="P73"/>
      <c r="Q73"/>
    </row>
    <row r="74" spans="1:17">
      <c r="A74" s="17"/>
      <c r="B74" s="17"/>
      <c r="C74" s="188"/>
      <c r="D74" s="18" t="s">
        <v>130</v>
      </c>
      <c r="E74" s="25"/>
      <c r="F74" s="144">
        <f>F73+E71</f>
        <v>2002.7399999999998</v>
      </c>
      <c r="G74" s="43"/>
      <c r="H74" s="42"/>
      <c r="I74" s="18" t="s">
        <v>130</v>
      </c>
      <c r="J74" s="25"/>
      <c r="K74" s="336">
        <f>K73+J71</f>
        <v>1699.7793310034949</v>
      </c>
      <c r="P74"/>
      <c r="Q74"/>
    </row>
    <row r="75" spans="1:17">
      <c r="A75" s="17"/>
      <c r="B75" s="16"/>
      <c r="C75" s="188"/>
      <c r="D75" s="17"/>
      <c r="E75" s="17"/>
      <c r="F75" s="205"/>
      <c r="G75" s="43"/>
      <c r="H75" s="17"/>
      <c r="I75" s="17"/>
      <c r="J75" s="17"/>
      <c r="P75"/>
      <c r="Q75"/>
    </row>
    <row r="76" spans="1:17" ht="19">
      <c r="A76" s="118" t="s">
        <v>100</v>
      </c>
      <c r="B76" s="491" t="s">
        <v>99</v>
      </c>
      <c r="C76" s="491"/>
      <c r="D76" s="17"/>
      <c r="E76" s="17"/>
      <c r="F76" s="18"/>
      <c r="G76" s="18"/>
      <c r="H76" s="17"/>
      <c r="I76" s="17"/>
      <c r="J76" s="17"/>
      <c r="P76"/>
      <c r="Q76"/>
    </row>
    <row r="77" spans="1:17" ht="409" customHeight="1">
      <c r="A77" s="17"/>
      <c r="B77" s="16"/>
      <c r="C77" s="228"/>
      <c r="D77" s="17"/>
      <c r="E77" s="17"/>
      <c r="F77" s="18"/>
      <c r="G77" s="18"/>
      <c r="H77" s="17"/>
      <c r="I77" s="17"/>
      <c r="J77" s="17"/>
      <c r="K77" s="18"/>
      <c r="P77"/>
      <c r="Q77"/>
    </row>
    <row r="78" spans="1:17">
      <c r="A78" s="17"/>
      <c r="B78" s="16"/>
      <c r="C78" s="188"/>
      <c r="D78" s="17"/>
      <c r="E78" s="17"/>
      <c r="F78" s="18"/>
      <c r="G78" s="18"/>
      <c r="H78" s="17"/>
      <c r="I78" s="17"/>
      <c r="J78" s="17"/>
      <c r="P78"/>
      <c r="Q78"/>
    </row>
    <row r="79" spans="1:17">
      <c r="A79" s="17"/>
      <c r="B79" s="16"/>
      <c r="C79" s="188"/>
      <c r="D79" s="17"/>
      <c r="E79" s="17"/>
      <c r="F79" s="18"/>
      <c r="G79" s="18"/>
      <c r="H79" s="17"/>
      <c r="I79" s="17"/>
      <c r="J79" s="17"/>
      <c r="P79"/>
      <c r="Q79"/>
    </row>
    <row r="80" spans="1:17">
      <c r="F80" s="18"/>
      <c r="G80" s="18"/>
      <c r="N80"/>
      <c r="O80"/>
      <c r="P80"/>
      <c r="Q80"/>
    </row>
    <row r="81" spans="2:17">
      <c r="F81" s="206"/>
      <c r="N81"/>
      <c r="O81"/>
      <c r="P81"/>
      <c r="Q81"/>
    </row>
    <row r="82" spans="2:17">
      <c r="B82"/>
      <c r="C82"/>
      <c r="N82"/>
      <c r="O82"/>
      <c r="P82"/>
      <c r="Q82"/>
    </row>
    <row r="83" spans="2:17">
      <c r="B83"/>
      <c r="C83"/>
      <c r="N83"/>
      <c r="O83"/>
      <c r="P83"/>
      <c r="Q83"/>
    </row>
    <row r="84" spans="2:17">
      <c r="B84"/>
      <c r="C84"/>
      <c r="N84"/>
      <c r="O84"/>
      <c r="P84"/>
      <c r="Q84"/>
    </row>
    <row r="85" spans="2:17">
      <c r="B85"/>
      <c r="C85"/>
      <c r="N85"/>
      <c r="O85"/>
      <c r="P85"/>
      <c r="Q85"/>
    </row>
    <row r="86" spans="2:17">
      <c r="B86"/>
      <c r="C86"/>
      <c r="N86"/>
      <c r="O86"/>
      <c r="P86"/>
      <c r="Q86"/>
    </row>
    <row r="87" spans="2:17">
      <c r="B87"/>
      <c r="C87"/>
      <c r="N87"/>
      <c r="O87"/>
      <c r="P87"/>
      <c r="Q87"/>
    </row>
    <row r="88" spans="2:17">
      <c r="B88"/>
      <c r="C88"/>
      <c r="N88"/>
      <c r="O88"/>
      <c r="P88"/>
      <c r="Q88"/>
    </row>
    <row r="89" spans="2:17">
      <c r="B89"/>
      <c r="C89"/>
      <c r="N89"/>
      <c r="O89"/>
      <c r="P89"/>
      <c r="Q89"/>
    </row>
    <row r="90" spans="2:17">
      <c r="B90"/>
      <c r="C90"/>
      <c r="N90"/>
      <c r="O90"/>
      <c r="P90"/>
      <c r="Q90"/>
    </row>
    <row r="91" spans="2:17">
      <c r="B91"/>
      <c r="C91"/>
      <c r="N91"/>
      <c r="O91"/>
      <c r="P91"/>
      <c r="Q91"/>
    </row>
    <row r="92" spans="2:17">
      <c r="B92"/>
      <c r="C92"/>
      <c r="N92"/>
      <c r="O92"/>
      <c r="P92"/>
      <c r="Q92"/>
    </row>
    <row r="93" spans="2:17">
      <c r="B93"/>
      <c r="C93"/>
      <c r="N93"/>
      <c r="O93"/>
      <c r="P93"/>
      <c r="Q93"/>
    </row>
    <row r="94" spans="2:17">
      <c r="B94"/>
      <c r="C94"/>
      <c r="N94"/>
      <c r="O94"/>
      <c r="P94"/>
      <c r="Q94"/>
    </row>
    <row r="95" spans="2:17">
      <c r="B95"/>
      <c r="C95"/>
      <c r="N95"/>
      <c r="O95"/>
      <c r="P95"/>
      <c r="Q95"/>
    </row>
    <row r="96" spans="2:17">
      <c r="B96"/>
      <c r="C96"/>
      <c r="F96"/>
      <c r="G96"/>
      <c r="K96" s="235"/>
      <c r="N96"/>
      <c r="O96"/>
      <c r="P96"/>
      <c r="Q96"/>
    </row>
    <row r="97" spans="2:17">
      <c r="B97"/>
      <c r="C97"/>
      <c r="F97"/>
      <c r="G97"/>
      <c r="K97" s="235"/>
      <c r="N97"/>
      <c r="O97"/>
      <c r="P97"/>
      <c r="Q97"/>
    </row>
    <row r="98" spans="2:17">
      <c r="B98"/>
      <c r="C98"/>
      <c r="F98"/>
      <c r="G98"/>
      <c r="K98" s="235"/>
      <c r="N98"/>
      <c r="O98"/>
      <c r="P98"/>
      <c r="Q98"/>
    </row>
    <row r="99" spans="2:17">
      <c r="B99"/>
      <c r="C99"/>
      <c r="F99"/>
      <c r="G99"/>
      <c r="K99" s="235"/>
      <c r="N99"/>
      <c r="O99"/>
      <c r="P99"/>
      <c r="Q99"/>
    </row>
    <row r="100" spans="2:17">
      <c r="B100"/>
      <c r="C100"/>
      <c r="F100"/>
      <c r="G100"/>
      <c r="K100" s="235"/>
      <c r="N100"/>
      <c r="O100"/>
      <c r="P100"/>
      <c r="Q100"/>
    </row>
  </sheetData>
  <sheetProtection password="BDE0" sheet="1" objects="1" scenarios="1" selectLockedCells="1"/>
  <mergeCells count="8">
    <mergeCell ref="B76:C76"/>
    <mergeCell ref="D8:J8"/>
    <mergeCell ref="B15:J15"/>
    <mergeCell ref="A18:A19"/>
    <mergeCell ref="B18:B19"/>
    <mergeCell ref="D18:E18"/>
    <mergeCell ref="H18:H19"/>
    <mergeCell ref="I18:I19"/>
  </mergeCells>
  <dataValidations xWindow="802" yWindow="574" count="3">
    <dataValidation allowBlank="1" showInputMessage="1" showErrorMessage="1" promptTitle="Dépenses énergétiques" prompt="Indiquez ici votre dépense énergétique du jour._x000d_Attention: les déplacements réguliers ne sont pas pris en compte._x000d_Seuls les déplacements extraordinaires (marche, footing, vélo, fitness, etc.) doivent être mentionnés._x000d_Utilisez notre calculateur" sqref="D6"/>
    <dataValidation allowBlank="1" showErrorMessage="1" promptTitle="Objectif du jour" prompt="Entrez ici l'apport calorique souhaité._x000d_Arrondissez à la centaine inférieure ou supérieure l'estimation obtenue avec le calculateur du feuillet &quot;bilan&quot;._x000d_Cet objectif est ensuite figé pour la totalité de l'exercice (14 jours)." sqref="D7"/>
    <dataValidation allowBlank="1" showErrorMessage="1" promptTitle="Modification des quantités" prompt="Vous pouvez diminuer ou augmenter la quantité,._x000d_Si vous désirez supprimer l'aliment, inscrivez 0 (zéro)." sqref="A1:A1048576"/>
  </dataValidations>
  <hyperlinks>
    <hyperlink ref="B76" location="sommaire!A1" display="RETOUR AU SOMMAIRE"/>
    <hyperlink ref="C76" location="sommaire!A1" display="sommaire!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xWindow="802" yWindow="574"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4"/>
  <sheetViews>
    <sheetView workbookViewId="0">
      <selection activeCell="D5" sqref="D5"/>
    </sheetView>
  </sheetViews>
  <sheetFormatPr baseColWidth="10" defaultRowHeight="15" x14ac:dyDescent="0"/>
  <cols>
    <col min="1" max="1" width="6.33203125" customWidth="1"/>
    <col min="2" max="2" width="29.8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6" customWidth="1"/>
    <col min="14" max="14" width="3.33203125" style="44" customWidth="1"/>
    <col min="15" max="17" width="10.83203125" style="44"/>
  </cols>
  <sheetData>
    <row r="1" spans="1:17" ht="19">
      <c r="A1" s="207" t="s">
        <v>746</v>
      </c>
      <c r="B1" s="120"/>
      <c r="C1" s="187"/>
      <c r="D1" s="121"/>
      <c r="E1" s="121"/>
      <c r="F1" s="122"/>
      <c r="G1" s="122"/>
      <c r="H1" s="122"/>
      <c r="I1" s="123" t="s">
        <v>101</v>
      </c>
      <c r="J1" s="304" t="s">
        <v>676</v>
      </c>
      <c r="N1"/>
      <c r="O1"/>
      <c r="P1"/>
      <c r="Q1"/>
    </row>
    <row r="2" spans="1:17">
      <c r="A2" s="17"/>
      <c r="B2" s="16" t="s">
        <v>12</v>
      </c>
      <c r="C2" s="188"/>
      <c r="D2" s="17"/>
      <c r="E2" s="17"/>
      <c r="F2" s="18"/>
      <c r="G2" s="18"/>
      <c r="H2" s="17"/>
      <c r="I2" s="17"/>
      <c r="J2" s="17"/>
      <c r="N2"/>
      <c r="O2"/>
      <c r="P2"/>
      <c r="Q2"/>
    </row>
    <row r="3" spans="1:17">
      <c r="A3" s="16" t="s">
        <v>19</v>
      </c>
      <c r="B3" s="16"/>
      <c r="C3" s="188"/>
      <c r="D3" s="15">
        <f>ROUND(F77,0)</f>
        <v>1998</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298</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147">
        <f>D3+E75-D11</f>
        <v>298</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7"/>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152" t="s">
        <v>133</v>
      </c>
      <c r="O17" s="148"/>
      <c r="Q17"/>
    </row>
    <row r="18" spans="1:17">
      <c r="A18" s="485" t="s">
        <v>11</v>
      </c>
      <c r="B18" s="483" t="s">
        <v>227</v>
      </c>
      <c r="C18" s="299"/>
      <c r="D18" s="481" t="s">
        <v>7</v>
      </c>
      <c r="E18" s="482"/>
      <c r="F18" s="18"/>
      <c r="G18" s="43"/>
      <c r="H18" s="487" t="str">
        <f>A18</f>
        <v>g/cl</v>
      </c>
      <c r="I18" s="489" t="str">
        <f>B18</f>
        <v>Ingrédients</v>
      </c>
      <c r="J18" s="70" t="s">
        <v>7</v>
      </c>
      <c r="M18" s="151">
        <f>100-(D12/((D11+D12)/100))</f>
        <v>85.085085085085083</v>
      </c>
      <c r="Q18"/>
    </row>
    <row r="19" spans="1:17" ht="12" customHeight="1">
      <c r="A19" s="486"/>
      <c r="B19" s="484"/>
      <c r="C19" s="73"/>
      <c r="D19" s="72" t="s">
        <v>22</v>
      </c>
      <c r="E19" s="73" t="s">
        <v>23</v>
      </c>
      <c r="F19" s="18"/>
      <c r="G19" s="43"/>
      <c r="H19" s="488"/>
      <c r="I19" s="490"/>
      <c r="J19" s="71" t="s">
        <v>23</v>
      </c>
      <c r="M19" s="149"/>
      <c r="Q19"/>
    </row>
    <row r="20" spans="1:17" ht="8" customHeight="1">
      <c r="A20" s="17"/>
      <c r="B20" s="16"/>
      <c r="C20" s="209"/>
      <c r="D20" s="17"/>
      <c r="E20" s="17"/>
      <c r="F20" s="18"/>
      <c r="G20" s="43"/>
      <c r="H20" s="17"/>
      <c r="I20" s="17"/>
      <c r="J20" s="17"/>
      <c r="L20" s="154"/>
      <c r="P20"/>
      <c r="Q20"/>
    </row>
    <row r="21" spans="1:17">
      <c r="A21" s="216" t="s">
        <v>242</v>
      </c>
      <c r="B21" s="16"/>
      <c r="C21" s="209"/>
      <c r="D21" s="17"/>
      <c r="E21" s="17"/>
      <c r="F21" s="18"/>
      <c r="G21" s="43"/>
      <c r="H21" s="17"/>
      <c r="I21" s="17"/>
      <c r="J21" s="17"/>
      <c r="L21" s="154"/>
      <c r="P21"/>
      <c r="Q21"/>
    </row>
    <row r="22" spans="1:17">
      <c r="A22" s="438">
        <v>30</v>
      </c>
      <c r="B22" s="2" t="s">
        <v>102</v>
      </c>
      <c r="C22" s="196" t="s">
        <v>673</v>
      </c>
      <c r="D22" s="51">
        <v>229</v>
      </c>
      <c r="E22" s="49">
        <f t="shared" ref="E22:E29" si="0">D22/100*A22</f>
        <v>68.7</v>
      </c>
      <c r="F22" s="18"/>
      <c r="G22" s="43"/>
      <c r="H22" s="55">
        <f t="shared" ref="H22:H29" si="1">IF(E22=0,A22,A22/E22*J22)</f>
        <v>25.525525525525524</v>
      </c>
      <c r="I22" s="2" t="str">
        <f t="shared" ref="I22:I29" si="2">B22</f>
        <v>pain complet</v>
      </c>
      <c r="J22" s="49">
        <f>E22*$M$18%</f>
        <v>58.453453453453456</v>
      </c>
      <c r="M22" s="150"/>
      <c r="Q22"/>
    </row>
    <row r="23" spans="1:17">
      <c r="A23" s="438">
        <v>5</v>
      </c>
      <c r="B23" s="2" t="s">
        <v>0</v>
      </c>
      <c r="C23" s="197" t="s">
        <v>674</v>
      </c>
      <c r="D23" s="51">
        <v>747.3</v>
      </c>
      <c r="E23" s="49">
        <f t="shared" si="0"/>
        <v>37.365000000000002</v>
      </c>
      <c r="F23" s="18"/>
      <c r="G23" s="43"/>
      <c r="H23" s="55">
        <f t="shared" si="1"/>
        <v>4.2542542542542545</v>
      </c>
      <c r="I23" s="2" t="str">
        <f t="shared" si="2"/>
        <v>beurre</v>
      </c>
      <c r="J23" s="49">
        <f t="shared" ref="J23:J29" si="3">E23*$M$18%</f>
        <v>31.792042042042045</v>
      </c>
      <c r="Q23"/>
    </row>
    <row r="24" spans="1:17">
      <c r="A24" s="438">
        <v>10</v>
      </c>
      <c r="B24" s="2" t="s">
        <v>3</v>
      </c>
      <c r="C24" s="197" t="s">
        <v>674</v>
      </c>
      <c r="D24" s="51">
        <v>246</v>
      </c>
      <c r="E24" s="49">
        <f t="shared" si="0"/>
        <v>24.6</v>
      </c>
      <c r="F24" s="18"/>
      <c r="G24" s="43"/>
      <c r="H24" s="55">
        <f t="shared" si="1"/>
        <v>8.508508508508509</v>
      </c>
      <c r="I24" s="2" t="str">
        <f t="shared" si="2"/>
        <v>confiture</v>
      </c>
      <c r="J24" s="49">
        <f t="shared" si="3"/>
        <v>20.930930930930934</v>
      </c>
      <c r="O24" s="45"/>
      <c r="Q24"/>
    </row>
    <row r="25" spans="1:17">
      <c r="A25" s="438">
        <v>150</v>
      </c>
      <c r="B25" s="2" t="s">
        <v>1</v>
      </c>
      <c r="C25" s="198"/>
      <c r="D25" s="51">
        <v>0</v>
      </c>
      <c r="E25" s="49">
        <f t="shared" si="0"/>
        <v>0</v>
      </c>
      <c r="F25" s="18"/>
      <c r="G25" s="43"/>
      <c r="H25" s="55">
        <f t="shared" si="1"/>
        <v>150</v>
      </c>
      <c r="I25" s="2" t="str">
        <f t="shared" si="2"/>
        <v>café</v>
      </c>
      <c r="J25" s="49">
        <f t="shared" si="3"/>
        <v>0</v>
      </c>
      <c r="O25" s="45"/>
      <c r="Q25"/>
    </row>
    <row r="26" spans="1:17">
      <c r="A26" s="438">
        <v>4</v>
      </c>
      <c r="B26" s="2" t="s">
        <v>2</v>
      </c>
      <c r="C26" s="197" t="s">
        <v>674</v>
      </c>
      <c r="D26" s="51">
        <v>400</v>
      </c>
      <c r="E26" s="49">
        <f t="shared" si="0"/>
        <v>16</v>
      </c>
      <c r="F26" s="18"/>
      <c r="G26" s="43"/>
      <c r="H26" s="55">
        <f t="shared" si="1"/>
        <v>3.4034034034034035</v>
      </c>
      <c r="I26" s="2" t="str">
        <f t="shared" si="2"/>
        <v>sucre</v>
      </c>
      <c r="J26" s="49">
        <f t="shared" si="3"/>
        <v>13.613613613613614</v>
      </c>
      <c r="O26" s="45"/>
      <c r="Q26"/>
    </row>
    <row r="27" spans="1:17">
      <c r="A27" s="438">
        <v>12</v>
      </c>
      <c r="B27" s="2" t="s">
        <v>5</v>
      </c>
      <c r="C27" s="196" t="s">
        <v>673</v>
      </c>
      <c r="D27" s="51">
        <v>161</v>
      </c>
      <c r="E27" s="49">
        <f t="shared" si="0"/>
        <v>19.32</v>
      </c>
      <c r="F27" s="18"/>
      <c r="G27" s="43"/>
      <c r="H27" s="55">
        <f t="shared" si="1"/>
        <v>10.21021021021021</v>
      </c>
      <c r="I27" s="2" t="str">
        <f t="shared" si="2"/>
        <v>crème à café</v>
      </c>
      <c r="J27" s="49">
        <f t="shared" si="3"/>
        <v>16.438438438438439</v>
      </c>
      <c r="O27" s="45"/>
      <c r="Q27"/>
    </row>
    <row r="28" spans="1:17">
      <c r="A28" s="438">
        <v>125</v>
      </c>
      <c r="B28" s="2" t="s">
        <v>123</v>
      </c>
      <c r="C28" s="199" t="s">
        <v>675</v>
      </c>
      <c r="D28" s="51">
        <v>87</v>
      </c>
      <c r="E28" s="49">
        <f t="shared" si="0"/>
        <v>108.75</v>
      </c>
      <c r="F28" s="18"/>
      <c r="G28" s="43"/>
      <c r="H28" s="55">
        <f t="shared" si="1"/>
        <v>106.35635635635636</v>
      </c>
      <c r="I28" s="2" t="str">
        <f t="shared" si="2"/>
        <v>yogourt aux fruits</v>
      </c>
      <c r="J28" s="49">
        <f t="shared" si="3"/>
        <v>92.530030030030034</v>
      </c>
      <c r="O28" s="45"/>
      <c r="Q28"/>
    </row>
    <row r="29" spans="1:17">
      <c r="A29" s="438">
        <v>150</v>
      </c>
      <c r="B29" s="2" t="s">
        <v>103</v>
      </c>
      <c r="C29" s="199" t="s">
        <v>675</v>
      </c>
      <c r="D29" s="51">
        <v>45</v>
      </c>
      <c r="E29" s="49">
        <f t="shared" si="0"/>
        <v>67.5</v>
      </c>
      <c r="F29" s="68"/>
      <c r="G29" s="128"/>
      <c r="H29" s="55">
        <f t="shared" si="1"/>
        <v>127.62762762762765</v>
      </c>
      <c r="I29" s="2" t="str">
        <f t="shared" si="2"/>
        <v>jus d'orange maison</v>
      </c>
      <c r="J29" s="49">
        <f t="shared" si="3"/>
        <v>57.432432432432435</v>
      </c>
      <c r="K29" s="275"/>
      <c r="O29" s="45"/>
      <c r="Q29"/>
    </row>
    <row r="30" spans="1:17">
      <c r="A30" s="42"/>
      <c r="B30" s="131"/>
      <c r="C30" s="200"/>
      <c r="E30" s="130" t="s">
        <v>6</v>
      </c>
      <c r="F30" s="175">
        <f>SUM(E22:E29)</f>
        <v>342.23500000000001</v>
      </c>
      <c r="G30" s="128"/>
      <c r="H30" s="42"/>
      <c r="I30" s="131"/>
      <c r="J30" s="130" t="s">
        <v>6</v>
      </c>
      <c r="K30" s="336">
        <f>SUM(J22:J29)</f>
        <v>291.190940940941</v>
      </c>
      <c r="L30" s="154"/>
      <c r="O30" s="45"/>
      <c r="Q30"/>
    </row>
    <row r="31" spans="1:17">
      <c r="A31" s="216" t="s">
        <v>225</v>
      </c>
      <c r="B31" s="16"/>
      <c r="C31" s="209"/>
      <c r="D31" s="17"/>
      <c r="E31" s="17"/>
      <c r="F31" s="18"/>
      <c r="G31" s="43"/>
      <c r="H31" s="17"/>
      <c r="I31" s="17"/>
      <c r="J31" s="17"/>
      <c r="L31" s="154"/>
      <c r="P31"/>
      <c r="Q31"/>
    </row>
    <row r="32" spans="1:17">
      <c r="A32" s="66" t="s">
        <v>364</v>
      </c>
      <c r="B32" s="257"/>
      <c r="C32" s="257"/>
      <c r="D32" s="257"/>
      <c r="E32" s="257"/>
      <c r="F32" s="257"/>
      <c r="G32" s="257"/>
      <c r="H32" s="257"/>
      <c r="I32" s="257"/>
      <c r="J32" s="258"/>
      <c r="O32" s="45"/>
      <c r="Q32"/>
    </row>
    <row r="33" spans="1:17">
      <c r="A33" s="439">
        <v>125</v>
      </c>
      <c r="B33" s="2" t="s">
        <v>375</v>
      </c>
      <c r="C33" s="273" t="s">
        <v>676</v>
      </c>
      <c r="D33" s="253">
        <v>56</v>
      </c>
      <c r="E33" s="254">
        <f t="shared" ref="E33:E45" si="4">D33/100*A33</f>
        <v>70</v>
      </c>
      <c r="F33" s="68"/>
      <c r="G33" s="43"/>
      <c r="H33" s="255">
        <f t="shared" ref="H33:H43" si="5">IF(E33=0,A33,A33/E33*J33)</f>
        <v>106.35635635635636</v>
      </c>
      <c r="I33" s="251" t="str">
        <f t="shared" ref="I33:I46" si="6">B33</f>
        <v>crevettes</v>
      </c>
      <c r="J33" s="254">
        <f t="shared" ref="J33:J46" si="7">E33*$M$18%</f>
        <v>59.55955955955956</v>
      </c>
      <c r="O33" s="45"/>
      <c r="Q33"/>
    </row>
    <row r="34" spans="1:17">
      <c r="A34" s="439">
        <f>360/4</f>
        <v>90</v>
      </c>
      <c r="B34" s="2" t="s">
        <v>376</v>
      </c>
      <c r="C34" s="273" t="s">
        <v>676</v>
      </c>
      <c r="D34" s="253">
        <v>145</v>
      </c>
      <c r="E34" s="49">
        <f t="shared" si="4"/>
        <v>130.5</v>
      </c>
      <c r="F34" s="68"/>
      <c r="G34" s="128"/>
      <c r="H34" s="55">
        <f t="shared" si="5"/>
        <v>76.576576576576585</v>
      </c>
      <c r="I34" s="2" t="str">
        <f t="shared" si="6"/>
        <v>avocats</v>
      </c>
      <c r="J34" s="49">
        <f t="shared" si="7"/>
        <v>111.03603603603604</v>
      </c>
      <c r="O34" s="45"/>
      <c r="Q34"/>
    </row>
    <row r="35" spans="1:17">
      <c r="A35" s="439">
        <f>470/4</f>
        <v>117.5</v>
      </c>
      <c r="B35" s="2" t="s">
        <v>377</v>
      </c>
      <c r="C35" s="273" t="s">
        <v>676</v>
      </c>
      <c r="D35" s="253">
        <v>16</v>
      </c>
      <c r="E35" s="49">
        <f t="shared" si="4"/>
        <v>18.8</v>
      </c>
      <c r="F35" s="68"/>
      <c r="G35" s="128"/>
      <c r="H35" s="55">
        <f t="shared" si="5"/>
        <v>99.974974974974984</v>
      </c>
      <c r="I35" s="2" t="str">
        <f t="shared" si="6"/>
        <v>fenouil</v>
      </c>
      <c r="J35" s="49">
        <f t="shared" si="7"/>
        <v>15.995995995995997</v>
      </c>
      <c r="O35" s="45"/>
      <c r="Q35"/>
    </row>
    <row r="36" spans="1:17">
      <c r="A36" s="439">
        <v>100</v>
      </c>
      <c r="B36" s="2" t="s">
        <v>378</v>
      </c>
      <c r="C36" s="273" t="s">
        <v>676</v>
      </c>
      <c r="D36" s="253">
        <v>46</v>
      </c>
      <c r="E36" s="49">
        <f t="shared" si="4"/>
        <v>46</v>
      </c>
      <c r="F36" s="68"/>
      <c r="G36" s="128"/>
      <c r="H36" s="55">
        <f t="shared" si="5"/>
        <v>85.085085085085083</v>
      </c>
      <c r="I36" s="2" t="str">
        <f t="shared" si="6"/>
        <v>fromage blanc 0 %</v>
      </c>
      <c r="J36" s="49">
        <f t="shared" si="7"/>
        <v>39.139139139139139</v>
      </c>
      <c r="O36" s="45"/>
      <c r="Q36"/>
    </row>
    <row r="37" spans="1:17">
      <c r="A37" s="439">
        <f>56/4</f>
        <v>14</v>
      </c>
      <c r="B37" s="2" t="s">
        <v>209</v>
      </c>
      <c r="C37" s="273" t="s">
        <v>676</v>
      </c>
      <c r="D37" s="253">
        <v>17</v>
      </c>
      <c r="E37" s="49">
        <f t="shared" si="4"/>
        <v>2.3800000000000003</v>
      </c>
      <c r="F37" s="68"/>
      <c r="G37" s="128"/>
      <c r="H37" s="55">
        <f t="shared" si="5"/>
        <v>11.911911911911913</v>
      </c>
      <c r="I37" s="2" t="str">
        <f t="shared" si="6"/>
        <v>citrons</v>
      </c>
      <c r="J37" s="49">
        <f t="shared" si="7"/>
        <v>2.0250250250250255</v>
      </c>
      <c r="O37" s="45"/>
      <c r="Q37"/>
    </row>
    <row r="38" spans="1:17">
      <c r="A38" s="439">
        <f>30/4</f>
        <v>7.5</v>
      </c>
      <c r="B38" s="2" t="s">
        <v>379</v>
      </c>
      <c r="C38" s="273" t="s">
        <v>676</v>
      </c>
      <c r="D38" s="253">
        <v>25</v>
      </c>
      <c r="E38" s="49">
        <f t="shared" si="4"/>
        <v>1.875</v>
      </c>
      <c r="F38" s="68"/>
      <c r="G38" s="128"/>
      <c r="H38" s="55">
        <f t="shared" si="5"/>
        <v>6.3813813813813818</v>
      </c>
      <c r="I38" s="2" t="str">
        <f t="shared" si="6"/>
        <v>ciboulette</v>
      </c>
      <c r="J38" s="49">
        <f t="shared" si="7"/>
        <v>1.5953453453453454</v>
      </c>
      <c r="O38" s="45"/>
      <c r="Q38"/>
    </row>
    <row r="39" spans="1:17">
      <c r="A39" s="439">
        <f>36/4</f>
        <v>9</v>
      </c>
      <c r="B39" s="2" t="s">
        <v>108</v>
      </c>
      <c r="C39" s="197" t="s">
        <v>674</v>
      </c>
      <c r="D39" s="253">
        <v>899</v>
      </c>
      <c r="E39" s="49">
        <f t="shared" si="4"/>
        <v>80.91</v>
      </c>
      <c r="F39" s="68"/>
      <c r="G39" s="128"/>
      <c r="H39" s="55">
        <f t="shared" si="5"/>
        <v>7.6576576576576585</v>
      </c>
      <c r="I39" s="2" t="str">
        <f t="shared" si="6"/>
        <v>huile d'olive</v>
      </c>
      <c r="J39" s="49">
        <f t="shared" si="7"/>
        <v>68.842342342342349</v>
      </c>
      <c r="O39" s="45"/>
      <c r="Q39"/>
    </row>
    <row r="40" spans="1:17">
      <c r="A40" s="439">
        <v>1</v>
      </c>
      <c r="B40" s="2" t="s">
        <v>283</v>
      </c>
      <c r="C40" s="196" t="s">
        <v>673</v>
      </c>
      <c r="D40" s="253">
        <v>134</v>
      </c>
      <c r="E40" s="49">
        <f t="shared" si="4"/>
        <v>1.34</v>
      </c>
      <c r="F40" s="68"/>
      <c r="G40" s="128"/>
      <c r="H40" s="55">
        <f t="shared" si="5"/>
        <v>0.85085085085085088</v>
      </c>
      <c r="I40" s="2" t="str">
        <f t="shared" si="6"/>
        <v>moutarde</v>
      </c>
      <c r="J40" s="49">
        <f t="shared" si="7"/>
        <v>1.1401401401401403</v>
      </c>
      <c r="O40" s="45"/>
      <c r="Q40"/>
    </row>
    <row r="41" spans="1:17">
      <c r="A41" s="439">
        <v>50</v>
      </c>
      <c r="B41" s="2" t="s">
        <v>380</v>
      </c>
      <c r="C41" s="196" t="s">
        <v>673</v>
      </c>
      <c r="D41" s="253">
        <v>262</v>
      </c>
      <c r="E41" s="49">
        <f t="shared" si="4"/>
        <v>131</v>
      </c>
      <c r="F41" s="68"/>
      <c r="G41" s="128"/>
      <c r="H41" s="55">
        <f t="shared" si="5"/>
        <v>42.542542542542549</v>
      </c>
      <c r="I41" s="2" t="str">
        <f>B41</f>
        <v>pain de campagne</v>
      </c>
      <c r="J41" s="49">
        <f>E41*$M$18%</f>
        <v>111.46146146146147</v>
      </c>
      <c r="O41" s="45"/>
      <c r="P41"/>
      <c r="Q41"/>
    </row>
    <row r="42" spans="1:17">
      <c r="A42" s="439">
        <v>0.5</v>
      </c>
      <c r="B42" s="2" t="s">
        <v>109</v>
      </c>
      <c r="C42" s="197" t="s">
        <v>674</v>
      </c>
      <c r="D42" s="253">
        <v>0</v>
      </c>
      <c r="E42" s="49">
        <f t="shared" si="4"/>
        <v>0</v>
      </c>
      <c r="F42" s="68"/>
      <c r="G42" s="128"/>
      <c r="H42" s="55">
        <f t="shared" ref="H42" si="8">IF(E42=0,A42,A42/E42*J42)</f>
        <v>0.5</v>
      </c>
      <c r="I42" s="2" t="str">
        <f>B42</f>
        <v>sel</v>
      </c>
      <c r="J42" s="49">
        <f>E42*$M$18%</f>
        <v>0</v>
      </c>
      <c r="O42" s="45"/>
      <c r="Q42"/>
    </row>
    <row r="43" spans="1:17">
      <c r="A43" s="439">
        <v>0.25</v>
      </c>
      <c r="B43" s="107" t="s">
        <v>116</v>
      </c>
      <c r="C43" s="183" t="s">
        <v>675</v>
      </c>
      <c r="D43" s="51">
        <v>222</v>
      </c>
      <c r="E43" s="49">
        <f t="shared" si="4"/>
        <v>0.55500000000000005</v>
      </c>
      <c r="F43" s="68"/>
      <c r="G43" s="128"/>
      <c r="H43" s="55">
        <f t="shared" si="5"/>
        <v>0.21271271271271272</v>
      </c>
      <c r="I43" s="2" t="str">
        <f t="shared" si="6"/>
        <v>poivre</v>
      </c>
      <c r="J43" s="49">
        <f t="shared" si="7"/>
        <v>0.47222222222222227</v>
      </c>
      <c r="O43" s="45"/>
      <c r="Q43"/>
    </row>
    <row r="44" spans="1:17">
      <c r="A44" s="66" t="s">
        <v>127</v>
      </c>
      <c r="B44" s="63"/>
      <c r="C44" s="202"/>
      <c r="D44" s="63"/>
      <c r="E44" s="64"/>
      <c r="F44" s="18"/>
      <c r="G44" s="43"/>
      <c r="H44" s="65"/>
      <c r="I44" s="63"/>
      <c r="J44" s="67"/>
      <c r="O44" s="45"/>
      <c r="Q44"/>
    </row>
    <row r="45" spans="1:17">
      <c r="A45" s="438">
        <v>140</v>
      </c>
      <c r="B45" s="2" t="s">
        <v>254</v>
      </c>
      <c r="C45" s="185" t="s">
        <v>676</v>
      </c>
      <c r="D45" s="51">
        <v>32</v>
      </c>
      <c r="E45" s="49">
        <f t="shared" si="4"/>
        <v>44.800000000000004</v>
      </c>
      <c r="F45" s="18"/>
      <c r="G45" s="43"/>
      <c r="H45" s="55">
        <f>IF(E45=0,A45,A45/E45*J45)</f>
        <v>119.11911911911912</v>
      </c>
      <c r="I45" s="56" t="str">
        <f t="shared" ref="I45" si="9">B45</f>
        <v>pamplemousse rose</v>
      </c>
      <c r="J45" s="49">
        <f t="shared" ref="J45" si="10">E45*$M$18%</f>
        <v>38.118118118118126</v>
      </c>
      <c r="O45" s="45"/>
      <c r="Q45"/>
    </row>
    <row r="46" spans="1:17">
      <c r="A46" s="438">
        <v>8</v>
      </c>
      <c r="B46" s="2" t="s">
        <v>2</v>
      </c>
      <c r="C46" s="197" t="s">
        <v>674</v>
      </c>
      <c r="D46" s="51">
        <v>400</v>
      </c>
      <c r="E46" s="49">
        <f>D46/100*A46</f>
        <v>32</v>
      </c>
      <c r="F46" s="18"/>
      <c r="G46" s="43"/>
      <c r="H46" s="55">
        <f>IF(E46=0,A46,A46/E46*J46)</f>
        <v>6.8068068068068071</v>
      </c>
      <c r="I46" s="56" t="str">
        <f t="shared" si="6"/>
        <v>sucre</v>
      </c>
      <c r="J46" s="49">
        <f t="shared" si="7"/>
        <v>27.227227227227228</v>
      </c>
      <c r="K46" s="275"/>
      <c r="O46" s="45"/>
      <c r="P46"/>
      <c r="Q46"/>
    </row>
    <row r="47" spans="1:17">
      <c r="A47" s="42"/>
      <c r="B47" s="131"/>
      <c r="C47" s="200"/>
      <c r="E47" s="130" t="s">
        <v>6</v>
      </c>
      <c r="F47" s="138">
        <f>SUM(E33:E46)</f>
        <v>560.16</v>
      </c>
      <c r="G47" s="128"/>
      <c r="H47" s="42"/>
      <c r="I47" s="131"/>
      <c r="J47" s="130" t="s">
        <v>6</v>
      </c>
      <c r="K47" s="336">
        <f>SUM(J33:J46)</f>
        <v>476.61261261261262</v>
      </c>
      <c r="O47" s="45"/>
      <c r="Q47"/>
    </row>
    <row r="48" spans="1:17" ht="6" customHeight="1">
      <c r="A48" s="17"/>
      <c r="B48" s="17"/>
      <c r="C48" s="188"/>
      <c r="D48" s="68"/>
      <c r="E48" s="17"/>
      <c r="F48" s="18"/>
      <c r="G48" s="43"/>
      <c r="H48" s="17"/>
      <c r="I48" s="17"/>
      <c r="J48" s="17"/>
      <c r="O48" s="45"/>
      <c r="P48"/>
      <c r="Q48"/>
    </row>
    <row r="49" spans="1:17">
      <c r="A49" s="216" t="s">
        <v>228</v>
      </c>
      <c r="B49" s="16"/>
      <c r="C49" s="209"/>
      <c r="D49" s="17"/>
      <c r="E49" s="17"/>
      <c r="F49" s="18"/>
      <c r="G49" s="43"/>
      <c r="H49" s="17"/>
      <c r="I49" s="17"/>
      <c r="J49" s="17"/>
      <c r="P49"/>
      <c r="Q49"/>
    </row>
    <row r="50" spans="1:17">
      <c r="A50" s="438">
        <v>40</v>
      </c>
      <c r="B50" s="2" t="s">
        <v>374</v>
      </c>
      <c r="C50" s="197" t="s">
        <v>674</v>
      </c>
      <c r="D50" s="51">
        <v>378</v>
      </c>
      <c r="E50" s="49">
        <f>D50/100*A50</f>
        <v>151.19999999999999</v>
      </c>
      <c r="F50" s="18"/>
      <c r="G50" s="43"/>
      <c r="H50" s="55">
        <f>IF(E50=0,A50,A50/E50*J50)</f>
        <v>34.034034034034036</v>
      </c>
      <c r="I50" s="2" t="str">
        <f>B50</f>
        <v>barre de céréales aux fruits</v>
      </c>
      <c r="J50" s="49">
        <f>E50*$M$18%</f>
        <v>128.64864864864865</v>
      </c>
      <c r="L50" s="154"/>
    </row>
    <row r="51" spans="1:17">
      <c r="A51" s="42"/>
      <c r="B51" s="157"/>
      <c r="C51" s="272"/>
      <c r="E51" s="130" t="s">
        <v>6</v>
      </c>
      <c r="F51" s="137">
        <f>SUM(E50:E50)</f>
        <v>151.19999999999999</v>
      </c>
      <c r="G51" s="140"/>
      <c r="H51" s="42"/>
      <c r="I51" s="131"/>
      <c r="J51" s="130" t="s">
        <v>6</v>
      </c>
      <c r="K51" s="336">
        <f>SUM(J50:J50)</f>
        <v>128.64864864864865</v>
      </c>
      <c r="O51" s="45"/>
      <c r="Q51"/>
    </row>
    <row r="52" spans="1:17">
      <c r="A52" s="216" t="s">
        <v>226</v>
      </c>
      <c r="B52" s="16"/>
      <c r="C52" s="209"/>
      <c r="D52" s="17"/>
      <c r="E52" s="17"/>
      <c r="F52" s="18"/>
      <c r="G52" s="43"/>
      <c r="H52" s="17"/>
      <c r="I52" s="17"/>
      <c r="J52" s="17"/>
      <c r="P52"/>
      <c r="Q52"/>
    </row>
    <row r="53" spans="1:17">
      <c r="A53" s="66" t="s">
        <v>363</v>
      </c>
      <c r="B53" s="257"/>
      <c r="C53" s="257"/>
      <c r="D53" s="257"/>
      <c r="E53" s="257"/>
      <c r="F53" s="257"/>
      <c r="G53" s="257"/>
      <c r="H53" s="257"/>
      <c r="I53" s="257"/>
      <c r="J53" s="258"/>
      <c r="O53" s="45"/>
      <c r="Q53"/>
    </row>
    <row r="54" spans="1:17">
      <c r="A54" s="439">
        <f>180/4</f>
        <v>45</v>
      </c>
      <c r="B54" s="2" t="s">
        <v>381</v>
      </c>
      <c r="C54" s="273" t="s">
        <v>676</v>
      </c>
      <c r="D54" s="253">
        <v>46</v>
      </c>
      <c r="E54" s="49">
        <f t="shared" ref="E54:E66" si="11">D54/100*A54</f>
        <v>20.7</v>
      </c>
      <c r="F54" s="68"/>
      <c r="G54" s="128"/>
      <c r="H54" s="55">
        <f t="shared" ref="H54:H66" si="12">IF(E54=0,A54,A54/E54*J54)</f>
        <v>38.288288288288285</v>
      </c>
      <c r="I54" s="2" t="str">
        <f t="shared" ref="I54:I66" si="13">B54</f>
        <v>yogourt nature )</v>
      </c>
      <c r="J54" s="49">
        <f t="shared" ref="J54:J75" si="14">E54*$M$18%</f>
        <v>17.612612612612612</v>
      </c>
      <c r="L54" s="154"/>
      <c r="O54" s="45"/>
      <c r="P54"/>
      <c r="Q54"/>
    </row>
    <row r="55" spans="1:17">
      <c r="A55" s="439">
        <v>5.6</v>
      </c>
      <c r="B55" s="2" t="s">
        <v>204</v>
      </c>
      <c r="C55" s="273" t="s">
        <v>676</v>
      </c>
      <c r="D55" s="253">
        <v>17</v>
      </c>
      <c r="E55" s="49">
        <f t="shared" si="11"/>
        <v>0.95199999999999996</v>
      </c>
      <c r="F55" s="68"/>
      <c r="G55" s="128"/>
      <c r="H55" s="55">
        <f t="shared" si="12"/>
        <v>4.7647647647647648</v>
      </c>
      <c r="I55" s="2" t="str">
        <f t="shared" si="13"/>
        <v>citron</v>
      </c>
      <c r="J55" s="49">
        <f t="shared" si="14"/>
        <v>0.81001001001001005</v>
      </c>
      <c r="L55" s="154"/>
      <c r="O55" s="45"/>
      <c r="P55"/>
      <c r="Q55"/>
    </row>
    <row r="56" spans="1:17">
      <c r="A56" s="439">
        <v>1.5</v>
      </c>
      <c r="B56" s="2" t="s">
        <v>359</v>
      </c>
      <c r="C56" s="196" t="s">
        <v>673</v>
      </c>
      <c r="D56" s="253">
        <v>353</v>
      </c>
      <c r="E56" s="49">
        <f t="shared" si="11"/>
        <v>5.2949999999999999</v>
      </c>
      <c r="F56" s="68"/>
      <c r="G56" s="128"/>
      <c r="H56" s="55">
        <f t="shared" si="12"/>
        <v>1.2762762762762763</v>
      </c>
      <c r="I56" s="2" t="str">
        <f t="shared" si="13"/>
        <v xml:space="preserve">maïzena </v>
      </c>
      <c r="J56" s="49">
        <f t="shared" si="14"/>
        <v>4.5052552552552552</v>
      </c>
      <c r="O56" s="45"/>
      <c r="P56"/>
      <c r="Q56"/>
    </row>
    <row r="57" spans="1:17">
      <c r="A57" s="439">
        <f>150/4</f>
        <v>37.5</v>
      </c>
      <c r="B57" s="2" t="s">
        <v>336</v>
      </c>
      <c r="C57" s="273" t="s">
        <v>676</v>
      </c>
      <c r="D57" s="253">
        <v>32</v>
      </c>
      <c r="E57" s="49">
        <f t="shared" si="11"/>
        <v>12</v>
      </c>
      <c r="F57" s="68"/>
      <c r="G57" s="128"/>
      <c r="H57" s="55">
        <f t="shared" si="12"/>
        <v>31.906906906906908</v>
      </c>
      <c r="I57" s="2" t="str">
        <f t="shared" si="13"/>
        <v>poivron rouge</v>
      </c>
      <c r="J57" s="49">
        <f t="shared" si="14"/>
        <v>10.21021021021021</v>
      </c>
      <c r="O57" s="45"/>
      <c r="P57"/>
      <c r="Q57"/>
    </row>
    <row r="58" spans="1:17">
      <c r="A58" s="439">
        <v>40</v>
      </c>
      <c r="B58" s="2" t="s">
        <v>382</v>
      </c>
      <c r="C58" s="273" t="s">
        <v>676</v>
      </c>
      <c r="D58" s="253">
        <v>29</v>
      </c>
      <c r="E58" s="49">
        <f t="shared" si="11"/>
        <v>11.6</v>
      </c>
      <c r="F58" s="68"/>
      <c r="G58" s="128"/>
      <c r="H58" s="55">
        <f t="shared" si="12"/>
        <v>34.034034034034036</v>
      </c>
      <c r="I58" s="2" t="str">
        <f t="shared" si="13"/>
        <v>oignons jaunes</v>
      </c>
      <c r="J58" s="49">
        <f t="shared" si="14"/>
        <v>9.8698698698698699</v>
      </c>
      <c r="O58" s="45"/>
      <c r="P58"/>
      <c r="Q58"/>
    </row>
    <row r="59" spans="1:17">
      <c r="A59" s="439">
        <v>125</v>
      </c>
      <c r="B59" s="2" t="s">
        <v>383</v>
      </c>
      <c r="C59" s="273" t="s">
        <v>676</v>
      </c>
      <c r="D59" s="253">
        <v>154</v>
      </c>
      <c r="E59" s="49">
        <f t="shared" si="11"/>
        <v>192.5</v>
      </c>
      <c r="F59" s="68"/>
      <c r="G59" s="128"/>
      <c r="H59" s="55">
        <f t="shared" si="12"/>
        <v>106.35635635635636</v>
      </c>
      <c r="I59" s="2" t="str">
        <f t="shared" si="13"/>
        <v>viande de bœuf hachée</v>
      </c>
      <c r="J59" s="49">
        <f t="shared" si="14"/>
        <v>163.78878878878879</v>
      </c>
      <c r="O59" s="45"/>
      <c r="P59"/>
      <c r="Q59"/>
    </row>
    <row r="60" spans="1:17">
      <c r="A60" s="439">
        <v>25</v>
      </c>
      <c r="B60" s="2" t="s">
        <v>384</v>
      </c>
      <c r="C60" s="199" t="s">
        <v>675</v>
      </c>
      <c r="D60" s="253">
        <v>58</v>
      </c>
      <c r="E60" s="49">
        <f t="shared" si="11"/>
        <v>14.499999999999998</v>
      </c>
      <c r="F60" s="68"/>
      <c r="G60" s="128"/>
      <c r="H60" s="55">
        <f t="shared" si="12"/>
        <v>21.271271271271271</v>
      </c>
      <c r="I60" s="2" t="str">
        <f t="shared" si="13"/>
        <v xml:space="preserve">sauce tomate </v>
      </c>
      <c r="J60" s="49">
        <f t="shared" si="14"/>
        <v>12.337337337337337</v>
      </c>
      <c r="O60" s="45"/>
      <c r="P60"/>
      <c r="Q60"/>
    </row>
    <row r="61" spans="1:17">
      <c r="A61" s="439">
        <v>3</v>
      </c>
      <c r="B61" s="2" t="s">
        <v>360</v>
      </c>
      <c r="C61" s="196" t="s">
        <v>673</v>
      </c>
      <c r="D61" s="253">
        <v>319</v>
      </c>
      <c r="E61" s="49">
        <f t="shared" si="11"/>
        <v>9.57</v>
      </c>
      <c r="F61" s="68"/>
      <c r="G61" s="128"/>
      <c r="H61" s="55">
        <f t="shared" si="12"/>
        <v>2.5525525525525525</v>
      </c>
      <c r="I61" s="2" t="str">
        <f t="shared" si="13"/>
        <v>paprika doux</v>
      </c>
      <c r="J61" s="49">
        <f t="shared" si="14"/>
        <v>8.1426426426426435</v>
      </c>
      <c r="M61" s="174"/>
      <c r="O61" s="45"/>
      <c r="P61"/>
      <c r="Q61"/>
    </row>
    <row r="62" spans="1:17">
      <c r="A62" s="439">
        <v>0.5</v>
      </c>
      <c r="B62" s="2" t="s">
        <v>361</v>
      </c>
      <c r="C62" s="196" t="s">
        <v>673</v>
      </c>
      <c r="D62" s="253">
        <v>376</v>
      </c>
      <c r="E62" s="49">
        <f t="shared" si="11"/>
        <v>1.88</v>
      </c>
      <c r="F62" s="68"/>
      <c r="G62" s="128"/>
      <c r="H62" s="55">
        <f t="shared" si="12"/>
        <v>0.42542542542542539</v>
      </c>
      <c r="I62" s="2" t="str">
        <f t="shared" si="13"/>
        <v>piment de Cayenne</v>
      </c>
      <c r="J62" s="49">
        <f t="shared" si="14"/>
        <v>1.5995995995995995</v>
      </c>
      <c r="O62" s="45"/>
      <c r="P62"/>
      <c r="Q62"/>
    </row>
    <row r="63" spans="1:17">
      <c r="A63" s="439">
        <v>8</v>
      </c>
      <c r="B63" s="2" t="s">
        <v>362</v>
      </c>
      <c r="C63" s="197" t="s">
        <v>674</v>
      </c>
      <c r="D63" s="253">
        <v>899</v>
      </c>
      <c r="E63" s="49">
        <f t="shared" si="11"/>
        <v>71.92</v>
      </c>
      <c r="F63" s="68"/>
      <c r="G63" s="128"/>
      <c r="H63" s="55">
        <f t="shared" si="12"/>
        <v>6.8068068068068071</v>
      </c>
      <c r="I63" s="2" t="str">
        <f t="shared" si="13"/>
        <v>huile d’olive</v>
      </c>
      <c r="J63" s="49">
        <f t="shared" si="14"/>
        <v>61.193193193193196</v>
      </c>
      <c r="O63" s="45"/>
      <c r="P63"/>
      <c r="Q63"/>
    </row>
    <row r="64" spans="1:17">
      <c r="A64" s="439">
        <v>150</v>
      </c>
      <c r="B64" s="2" t="s">
        <v>346</v>
      </c>
      <c r="C64" s="273" t="s">
        <v>676</v>
      </c>
      <c r="D64" s="253">
        <v>76</v>
      </c>
      <c r="E64" s="49">
        <f t="shared" si="11"/>
        <v>114</v>
      </c>
      <c r="F64" s="68"/>
      <c r="G64" s="128"/>
      <c r="H64" s="55">
        <f t="shared" si="12"/>
        <v>127.62762762762763</v>
      </c>
      <c r="I64" s="2" t="str">
        <f t="shared" si="13"/>
        <v>pommes de terre nouvelles</v>
      </c>
      <c r="J64" s="49">
        <f t="shared" si="14"/>
        <v>96.996996996996998</v>
      </c>
      <c r="O64" s="45"/>
      <c r="P64"/>
      <c r="Q64"/>
    </row>
    <row r="65" spans="1:17">
      <c r="A65" s="439">
        <v>1</v>
      </c>
      <c r="B65" s="2" t="s">
        <v>109</v>
      </c>
      <c r="C65" s="197" t="s">
        <v>674</v>
      </c>
      <c r="D65" s="253">
        <v>0</v>
      </c>
      <c r="E65" s="49">
        <f t="shared" si="11"/>
        <v>0</v>
      </c>
      <c r="F65" s="68"/>
      <c r="G65" s="128"/>
      <c r="H65" s="55">
        <f t="shared" si="12"/>
        <v>1</v>
      </c>
      <c r="I65" s="2" t="str">
        <f t="shared" si="13"/>
        <v>sel</v>
      </c>
      <c r="J65" s="49">
        <f t="shared" si="14"/>
        <v>0</v>
      </c>
      <c r="O65" s="45"/>
      <c r="P65"/>
      <c r="Q65"/>
    </row>
    <row r="66" spans="1:17">
      <c r="A66" s="439">
        <v>0.25</v>
      </c>
      <c r="B66" s="107" t="s">
        <v>116</v>
      </c>
      <c r="C66" s="183" t="s">
        <v>675</v>
      </c>
      <c r="D66" s="51">
        <v>222</v>
      </c>
      <c r="E66" s="49">
        <f t="shared" si="11"/>
        <v>0.55500000000000005</v>
      </c>
      <c r="F66" s="68"/>
      <c r="G66" s="128"/>
      <c r="H66" s="55">
        <f t="shared" si="12"/>
        <v>0.21271271271271272</v>
      </c>
      <c r="I66" s="2" t="str">
        <f t="shared" si="13"/>
        <v>poivre</v>
      </c>
      <c r="J66" s="49">
        <f t="shared" si="14"/>
        <v>0.47222222222222227</v>
      </c>
      <c r="O66" s="45"/>
      <c r="P66"/>
      <c r="Q66"/>
    </row>
    <row r="67" spans="1:17">
      <c r="A67" s="42"/>
      <c r="B67" s="131"/>
      <c r="C67" s="201"/>
      <c r="E67" s="130" t="s">
        <v>6</v>
      </c>
      <c r="F67" s="138">
        <f>SUM(E54:E66)</f>
        <v>455.47199999999998</v>
      </c>
      <c r="G67" s="140"/>
      <c r="H67" s="42"/>
      <c r="I67" s="131"/>
      <c r="J67" s="130" t="s">
        <v>6</v>
      </c>
      <c r="K67" s="336">
        <f>SUM(J54:J66)</f>
        <v>387.53873873873874</v>
      </c>
      <c r="L67" s="154"/>
      <c r="O67" s="45"/>
      <c r="Q67"/>
    </row>
    <row r="68" spans="1:17">
      <c r="A68" s="66" t="s">
        <v>372</v>
      </c>
      <c r="B68" s="257"/>
      <c r="C68" s="257"/>
      <c r="D68" s="257"/>
      <c r="E68" s="257"/>
      <c r="F68" s="259"/>
      <c r="G68" s="260"/>
      <c r="H68" s="257"/>
      <c r="I68" s="257"/>
      <c r="J68" s="258"/>
      <c r="L68" s="154"/>
      <c r="O68" s="45"/>
      <c r="Q68"/>
    </row>
    <row r="69" spans="1:17">
      <c r="A69" s="439">
        <v>100</v>
      </c>
      <c r="B69" s="2" t="s">
        <v>145</v>
      </c>
      <c r="C69" s="197" t="s">
        <v>674</v>
      </c>
      <c r="D69" s="253">
        <v>252</v>
      </c>
      <c r="E69" s="49">
        <f t="shared" ref="E69:E73" si="15">D69/100*A69</f>
        <v>252</v>
      </c>
      <c r="F69" s="68"/>
      <c r="G69" s="128"/>
      <c r="H69" s="55">
        <f>IF(E69=0,A69,A69/E69*J69)</f>
        <v>85.085085085085083</v>
      </c>
      <c r="I69" s="2" t="str">
        <f>B69</f>
        <v>crème</v>
      </c>
      <c r="J69" s="49">
        <f t="shared" si="14"/>
        <v>214.41441441441441</v>
      </c>
      <c r="K69" s="241"/>
      <c r="L69" s="154"/>
      <c r="O69" s="45"/>
      <c r="P69"/>
      <c r="Q69"/>
    </row>
    <row r="70" spans="1:17">
      <c r="A70" s="439">
        <v>20</v>
      </c>
      <c r="B70" s="2" t="s">
        <v>385</v>
      </c>
      <c r="C70" s="197" t="s">
        <v>674</v>
      </c>
      <c r="D70" s="253">
        <v>400</v>
      </c>
      <c r="E70" s="49">
        <f t="shared" si="15"/>
        <v>80</v>
      </c>
      <c r="F70" s="68"/>
      <c r="G70" s="128"/>
      <c r="H70" s="55">
        <f t="shared" ref="H70:H73" si="16">IF(E70=0,A70,A70/E70*J70)</f>
        <v>17.017017017017018</v>
      </c>
      <c r="I70" s="2" t="str">
        <f t="shared" ref="I70:I73" si="17">B70</f>
        <v>sucre blanc</v>
      </c>
      <c r="J70" s="49">
        <f t="shared" si="14"/>
        <v>68.068068068068072</v>
      </c>
      <c r="K70" s="241"/>
      <c r="L70" s="154"/>
      <c r="O70" s="45"/>
      <c r="P70"/>
      <c r="Q70"/>
    </row>
    <row r="71" spans="1:17">
      <c r="A71" s="439">
        <f>300/4</f>
        <v>75</v>
      </c>
      <c r="B71" s="2" t="s">
        <v>181</v>
      </c>
      <c r="C71" s="273" t="s">
        <v>676</v>
      </c>
      <c r="D71" s="253">
        <v>146</v>
      </c>
      <c r="E71" s="49">
        <f t="shared" si="15"/>
        <v>109.5</v>
      </c>
      <c r="F71" s="68"/>
      <c r="G71" s="128"/>
      <c r="H71" s="55">
        <f t="shared" si="16"/>
        <v>63.813813813813809</v>
      </c>
      <c r="I71" s="2" t="str">
        <f t="shared" si="17"/>
        <v>œufs</v>
      </c>
      <c r="J71" s="49">
        <f t="shared" si="14"/>
        <v>93.168168168168165</v>
      </c>
      <c r="K71" s="241"/>
      <c r="L71" s="154"/>
      <c r="O71" s="45"/>
      <c r="P71"/>
      <c r="Q71"/>
    </row>
    <row r="72" spans="1:17">
      <c r="A72" s="439">
        <v>1</v>
      </c>
      <c r="B72" s="2" t="s">
        <v>386</v>
      </c>
      <c r="C72" s="196" t="s">
        <v>673</v>
      </c>
      <c r="D72" s="253">
        <v>58</v>
      </c>
      <c r="E72" s="49">
        <f t="shared" si="15"/>
        <v>0.57999999999999996</v>
      </c>
      <c r="F72" s="68"/>
      <c r="G72" s="128"/>
      <c r="H72" s="55">
        <f t="shared" si="16"/>
        <v>0.85085085085085088</v>
      </c>
      <c r="I72" s="2" t="str">
        <f t="shared" si="17"/>
        <v>gousse de vanille</v>
      </c>
      <c r="J72" s="49">
        <f t="shared" si="14"/>
        <v>0.49349349349349347</v>
      </c>
      <c r="K72" s="241"/>
      <c r="L72" s="154"/>
      <c r="O72" s="45"/>
      <c r="P72"/>
      <c r="Q72"/>
    </row>
    <row r="73" spans="1:17">
      <c r="A73" s="439">
        <v>12</v>
      </c>
      <c r="B73" s="2" t="s">
        <v>373</v>
      </c>
      <c r="C73" s="197" t="s">
        <v>674</v>
      </c>
      <c r="D73" s="253">
        <v>389</v>
      </c>
      <c r="E73" s="49">
        <f t="shared" si="15"/>
        <v>46.68</v>
      </c>
      <c r="F73" s="68"/>
      <c r="G73" s="128"/>
      <c r="H73" s="55">
        <f t="shared" si="16"/>
        <v>10.21021021021021</v>
      </c>
      <c r="I73" s="2" t="str">
        <f t="shared" si="17"/>
        <v xml:space="preserve">sucre roux </v>
      </c>
      <c r="J73" s="49">
        <f t="shared" si="14"/>
        <v>39.717717717717719</v>
      </c>
      <c r="K73" s="241"/>
      <c r="L73" s="154"/>
      <c r="O73" s="45"/>
      <c r="P73"/>
      <c r="Q73"/>
    </row>
    <row r="74" spans="1:17">
      <c r="A74" s="42"/>
      <c r="B74" s="131"/>
      <c r="C74" s="201"/>
      <c r="E74" s="143" t="s">
        <v>6</v>
      </c>
      <c r="F74" s="274">
        <f>SUM(E69:E73)</f>
        <v>488.76</v>
      </c>
      <c r="G74" s="25"/>
      <c r="H74" s="42"/>
      <c r="I74" s="131"/>
      <c r="J74" s="143" t="s">
        <v>6</v>
      </c>
      <c r="K74" s="336">
        <f>SUM(J69:J73)</f>
        <v>415.86186186186188</v>
      </c>
      <c r="O74" s="45"/>
      <c r="Q74"/>
    </row>
    <row r="75" spans="1:17">
      <c r="A75" s="54">
        <f>IF(D5="non",0,IF(D5="1 verre",125,250))</f>
        <v>0</v>
      </c>
      <c r="B75" s="2" t="str">
        <f>IF(A75=0,"","vin")</f>
        <v/>
      </c>
      <c r="C75" s="203"/>
      <c r="D75" s="51">
        <v>80</v>
      </c>
      <c r="E75" s="49">
        <f>D75/100*A75</f>
        <v>0</v>
      </c>
      <c r="G75" s="142"/>
      <c r="H75" s="55">
        <f>IF(E75=0,A75,A75/E75*J75)</f>
        <v>0</v>
      </c>
      <c r="I75" s="2" t="str">
        <f>B75</f>
        <v/>
      </c>
      <c r="J75" s="49">
        <f t="shared" si="14"/>
        <v>0</v>
      </c>
      <c r="K75" s="335"/>
      <c r="O75" s="45"/>
      <c r="P75"/>
      <c r="Q75"/>
    </row>
    <row r="76" spans="1:17" ht="6" customHeight="1">
      <c r="A76" s="17"/>
      <c r="B76" s="17"/>
      <c r="C76" s="188"/>
      <c r="D76" s="68"/>
      <c r="E76" s="17"/>
      <c r="F76" s="18"/>
      <c r="G76" s="204"/>
      <c r="H76" s="17"/>
      <c r="I76" s="17"/>
      <c r="J76" s="17"/>
      <c r="K76" s="335"/>
      <c r="P76"/>
      <c r="Q76"/>
    </row>
    <row r="77" spans="1:17">
      <c r="A77" s="17"/>
      <c r="B77" s="17"/>
      <c r="C77" s="188"/>
      <c r="D77" s="69" t="s">
        <v>129</v>
      </c>
      <c r="F77" s="138">
        <f>SUM(F22:F75)</f>
        <v>1997.827</v>
      </c>
      <c r="G77" s="204"/>
      <c r="H77" s="17"/>
      <c r="I77" s="69" t="s">
        <v>129</v>
      </c>
      <c r="K77" s="336">
        <f>SUM(K22:K75)</f>
        <v>1699.8528028028029</v>
      </c>
      <c r="P77"/>
      <c r="Q77"/>
    </row>
    <row r="78" spans="1:17">
      <c r="A78" s="17"/>
      <c r="B78" s="17"/>
      <c r="C78" s="188"/>
      <c r="D78" s="18" t="s">
        <v>130</v>
      </c>
      <c r="E78" s="25"/>
      <c r="F78" s="144">
        <f>F77+E75</f>
        <v>1997.827</v>
      </c>
      <c r="G78" s="43"/>
      <c r="H78" s="42"/>
      <c r="I78" s="18" t="s">
        <v>130</v>
      </c>
      <c r="J78" s="25"/>
      <c r="K78" s="336">
        <f>K77+J75</f>
        <v>1699.8528028028029</v>
      </c>
      <c r="P78"/>
      <c r="Q78"/>
    </row>
    <row r="79" spans="1:17">
      <c r="A79" s="17"/>
      <c r="B79" s="16"/>
      <c r="C79" s="188"/>
      <c r="D79" s="17"/>
      <c r="E79" s="17"/>
      <c r="F79" s="205"/>
      <c r="G79" s="43"/>
      <c r="H79" s="17"/>
      <c r="I79" s="17"/>
      <c r="J79" s="17"/>
      <c r="P79"/>
      <c r="Q79"/>
    </row>
    <row r="80" spans="1:17" ht="19">
      <c r="A80" s="118" t="s">
        <v>100</v>
      </c>
      <c r="B80" s="491" t="s">
        <v>99</v>
      </c>
      <c r="C80" s="491"/>
      <c r="D80" s="17"/>
      <c r="E80" s="17"/>
      <c r="F80" s="18"/>
      <c r="G80" s="18"/>
      <c r="H80" s="17"/>
      <c r="I80" s="17"/>
      <c r="J80" s="17"/>
      <c r="P80"/>
      <c r="Q80"/>
    </row>
    <row r="81" spans="1:17" ht="409" customHeight="1">
      <c r="A81" s="17"/>
      <c r="B81" s="16"/>
      <c r="C81" s="228"/>
      <c r="D81" s="17"/>
      <c r="E81" s="17"/>
      <c r="F81" s="18"/>
      <c r="G81" s="18"/>
      <c r="H81" s="17"/>
      <c r="I81" s="17"/>
      <c r="J81" s="17"/>
      <c r="K81" s="18"/>
      <c r="M81" s="407"/>
      <c r="P81"/>
      <c r="Q81"/>
    </row>
    <row r="82" spans="1:17">
      <c r="A82" s="17"/>
      <c r="B82" s="16"/>
      <c r="C82" s="188"/>
      <c r="D82" s="17"/>
      <c r="E82" s="17"/>
      <c r="F82" s="18"/>
      <c r="G82" s="18"/>
      <c r="H82" s="17"/>
      <c r="I82" s="17"/>
      <c r="J82" s="17"/>
      <c r="P82"/>
      <c r="Q82"/>
    </row>
    <row r="83" spans="1:17">
      <c r="A83" s="17"/>
      <c r="B83" s="16"/>
      <c r="C83" s="188"/>
      <c r="D83" s="17"/>
      <c r="E83" s="17"/>
      <c r="F83" s="18"/>
      <c r="G83" s="18"/>
      <c r="H83" s="17"/>
      <c r="I83" s="17"/>
      <c r="J83" s="17"/>
      <c r="P83"/>
      <c r="Q83"/>
    </row>
    <row r="84" spans="1:17">
      <c r="F84" s="68"/>
      <c r="G84" s="18"/>
      <c r="M84"/>
      <c r="N84"/>
      <c r="O84"/>
      <c r="P84"/>
      <c r="Q84"/>
    </row>
    <row r="85" spans="1:17">
      <c r="F85" s="206"/>
      <c r="M85"/>
      <c r="N85"/>
      <c r="O85"/>
      <c r="P85"/>
      <c r="Q85"/>
    </row>
    <row r="86" spans="1:17">
      <c r="B86"/>
      <c r="C86"/>
      <c r="M86"/>
      <c r="N86"/>
      <c r="O86"/>
      <c r="P86"/>
      <c r="Q86"/>
    </row>
    <row r="87" spans="1:17">
      <c r="B87"/>
      <c r="C87"/>
      <c r="M87"/>
      <c r="N87"/>
      <c r="O87"/>
      <c r="P87"/>
      <c r="Q87"/>
    </row>
    <row r="88" spans="1:17">
      <c r="B88"/>
      <c r="C88"/>
      <c r="M88"/>
      <c r="N88"/>
      <c r="O88"/>
      <c r="P88"/>
      <c r="Q88"/>
    </row>
    <row r="89" spans="1:17">
      <c r="B89"/>
      <c r="C89"/>
      <c r="M89"/>
      <c r="N89"/>
      <c r="O89"/>
      <c r="P89"/>
      <c r="Q89"/>
    </row>
    <row r="90" spans="1:17">
      <c r="B90"/>
      <c r="C90"/>
      <c r="M90"/>
      <c r="N90"/>
      <c r="O90"/>
      <c r="P90"/>
      <c r="Q90"/>
    </row>
    <row r="91" spans="1:17">
      <c r="B91"/>
      <c r="C91"/>
      <c r="M91"/>
      <c r="N91"/>
      <c r="O91"/>
      <c r="P91"/>
      <c r="Q91"/>
    </row>
    <row r="92" spans="1:17">
      <c r="B92"/>
      <c r="C92"/>
      <c r="M92"/>
      <c r="N92"/>
      <c r="O92"/>
      <c r="P92"/>
      <c r="Q92"/>
    </row>
    <row r="93" spans="1:17">
      <c r="B93"/>
      <c r="C93"/>
      <c r="M93"/>
      <c r="N93"/>
      <c r="O93"/>
      <c r="P93"/>
      <c r="Q93"/>
    </row>
    <row r="94" spans="1:17">
      <c r="B94"/>
      <c r="C94"/>
      <c r="M94"/>
      <c r="N94"/>
      <c r="O94"/>
      <c r="P94"/>
      <c r="Q94"/>
    </row>
    <row r="95" spans="1:17">
      <c r="B95"/>
      <c r="C95"/>
      <c r="M95"/>
      <c r="N95"/>
      <c r="O95"/>
      <c r="P95"/>
      <c r="Q95"/>
    </row>
    <row r="96" spans="1:17">
      <c r="B96"/>
      <c r="C96"/>
      <c r="M96"/>
      <c r="N96"/>
      <c r="O96"/>
      <c r="P96"/>
      <c r="Q96"/>
    </row>
    <row r="97" spans="2:17">
      <c r="B97"/>
      <c r="C97"/>
      <c r="M97"/>
      <c r="N97"/>
      <c r="O97"/>
      <c r="P97"/>
      <c r="Q97"/>
    </row>
    <row r="98" spans="2:17">
      <c r="B98"/>
      <c r="C98"/>
      <c r="M98"/>
      <c r="N98"/>
      <c r="O98"/>
      <c r="P98"/>
      <c r="Q98"/>
    </row>
    <row r="99" spans="2:17">
      <c r="B99"/>
      <c r="C99"/>
      <c r="M99"/>
      <c r="N99"/>
      <c r="O99"/>
      <c r="P99"/>
      <c r="Q99"/>
    </row>
    <row r="100" spans="2:17">
      <c r="B100"/>
      <c r="C100"/>
      <c r="F100"/>
      <c r="G100"/>
      <c r="K100" s="235"/>
      <c r="M100"/>
      <c r="N100"/>
      <c r="O100"/>
      <c r="P100"/>
      <c r="Q100"/>
    </row>
    <row r="101" spans="2:17">
      <c r="B101"/>
      <c r="C101"/>
      <c r="F101"/>
      <c r="G101"/>
      <c r="K101" s="235"/>
      <c r="M101"/>
      <c r="N101"/>
      <c r="O101"/>
      <c r="P101"/>
      <c r="Q101"/>
    </row>
    <row r="102" spans="2:17">
      <c r="B102"/>
      <c r="C102"/>
      <c r="F102"/>
      <c r="G102"/>
      <c r="K102" s="235"/>
      <c r="M102"/>
      <c r="N102"/>
      <c r="O102"/>
      <c r="P102"/>
      <c r="Q102"/>
    </row>
    <row r="103" spans="2:17">
      <c r="B103"/>
      <c r="C103"/>
      <c r="F103"/>
      <c r="G103"/>
      <c r="K103" s="235"/>
      <c r="M103"/>
      <c r="N103"/>
      <c r="O103"/>
      <c r="P103"/>
      <c r="Q103"/>
    </row>
    <row r="104" spans="2:17">
      <c r="B104"/>
      <c r="C104"/>
      <c r="F104"/>
      <c r="G104"/>
      <c r="K104" s="235"/>
      <c r="M104"/>
      <c r="N104"/>
      <c r="O104"/>
      <c r="P104"/>
      <c r="Q104"/>
    </row>
  </sheetData>
  <sheetProtection password="A5F4" sheet="1" objects="1" scenarios="1" selectLockedCells="1"/>
  <mergeCells count="8">
    <mergeCell ref="B80:C80"/>
    <mergeCell ref="D8:J8"/>
    <mergeCell ref="B15:J15"/>
    <mergeCell ref="A18:A19"/>
    <mergeCell ref="B18:B19"/>
    <mergeCell ref="D18:E18"/>
    <mergeCell ref="H18:H19"/>
    <mergeCell ref="I18:I19"/>
  </mergeCells>
  <dataValidations xWindow="882" yWindow="719" count="2">
    <dataValidation allowBlank="1" showErrorMessage="1" promptTitle="Modification des quantités" prompt="Vous pouvez diminuer ou augmenter la quantité,._x000d_Si vous désirez supprimer l'aliment, inscrivez 0 (zéro)." sqref="A45:A46"/>
    <dataValidation allowBlank="1" showErrorMessage="1" promptTitle="Modification des quantités" prompt="Vous pouvez diminuer ou augmenter la quantité,._x000d_Si vous désirez supprimer l'aliment, inscrivez 0 (zéro)." sqref="A50"/>
  </dataValidations>
  <hyperlinks>
    <hyperlink ref="B80" location="sommaire!A1" display="RETOUR AU SOMMAIRE"/>
    <hyperlink ref="C80"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882" yWindow="719"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0"/>
  <sheetViews>
    <sheetView workbookViewId="0">
      <selection activeCell="D5" sqref="D5"/>
    </sheetView>
  </sheetViews>
  <sheetFormatPr baseColWidth="10" defaultRowHeight="15" x14ac:dyDescent="0"/>
  <cols>
    <col min="1" max="1" width="6.33203125" customWidth="1"/>
    <col min="2" max="2" width="28.8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9.1640625" customWidth="1"/>
    <col min="10" max="10" width="8.33203125" customWidth="1"/>
    <col min="11" max="11" width="6.6640625" style="228" customWidth="1"/>
    <col min="12" max="12" width="166.33203125" style="242" customWidth="1"/>
    <col min="13" max="13" width="6.6640625" style="407" customWidth="1"/>
    <col min="14" max="14" width="3.33203125" style="407" customWidth="1"/>
    <col min="15" max="17" width="10.83203125" style="44"/>
  </cols>
  <sheetData>
    <row r="1" spans="1:17" ht="19">
      <c r="A1" s="207" t="s">
        <v>745</v>
      </c>
      <c r="B1" s="120"/>
      <c r="C1" s="187"/>
      <c r="D1" s="121"/>
      <c r="E1" s="121"/>
      <c r="F1" s="122"/>
      <c r="G1" s="122"/>
      <c r="H1" s="122"/>
      <c r="I1" s="123" t="s">
        <v>101</v>
      </c>
      <c r="J1" s="266" t="s">
        <v>676</v>
      </c>
      <c r="O1"/>
      <c r="P1"/>
      <c r="Q1"/>
    </row>
    <row r="2" spans="1:17">
      <c r="A2" s="17"/>
      <c r="B2" s="16" t="s">
        <v>12</v>
      </c>
      <c r="C2" s="188"/>
      <c r="D2" s="17"/>
      <c r="E2" s="17"/>
      <c r="F2" s="18"/>
      <c r="G2" s="18"/>
      <c r="H2" s="17"/>
      <c r="I2" s="17"/>
      <c r="J2" s="17"/>
      <c r="O2"/>
      <c r="P2"/>
      <c r="Q2"/>
    </row>
    <row r="3" spans="1:17">
      <c r="A3" s="16" t="s">
        <v>19</v>
      </c>
      <c r="B3" s="16"/>
      <c r="C3" s="188"/>
      <c r="D3" s="15">
        <f>ROUND(F83,0)</f>
        <v>1999</v>
      </c>
      <c r="E3" s="17" t="s">
        <v>9</v>
      </c>
      <c r="F3" s="18"/>
      <c r="G3" s="18"/>
      <c r="H3" s="42"/>
      <c r="I3" s="42"/>
      <c r="J3" s="42"/>
      <c r="O3"/>
      <c r="P3"/>
      <c r="Q3"/>
    </row>
    <row r="4" spans="1:17" ht="12" customHeight="1">
      <c r="A4" s="24" t="s">
        <v>26</v>
      </c>
      <c r="B4" s="16"/>
      <c r="C4" s="188"/>
      <c r="D4" s="19"/>
      <c r="E4" s="17"/>
      <c r="F4" s="18"/>
      <c r="G4" s="18"/>
      <c r="H4" s="17"/>
      <c r="I4" s="17"/>
      <c r="J4" s="17"/>
      <c r="O4"/>
      <c r="P4"/>
      <c r="Q4"/>
    </row>
    <row r="5" spans="1:17">
      <c r="A5" s="16" t="s">
        <v>29</v>
      </c>
      <c r="B5" s="16"/>
      <c r="C5" s="189" t="s">
        <v>25</v>
      </c>
      <c r="D5" s="455" t="s">
        <v>10</v>
      </c>
      <c r="E5" s="17" t="str">
        <f>IF(D5="non","",IF(D5=1,d!B22,d!B23))</f>
        <v/>
      </c>
      <c r="F5" s="18"/>
      <c r="G5" s="18"/>
      <c r="H5" s="17"/>
      <c r="I5" s="17"/>
      <c r="J5" s="17"/>
      <c r="O5"/>
      <c r="P5"/>
      <c r="Q5"/>
    </row>
    <row r="6" spans="1:17">
      <c r="A6" s="16" t="s">
        <v>18</v>
      </c>
      <c r="B6" s="16"/>
      <c r="C6" s="188"/>
      <c r="D6" s="437">
        <v>0</v>
      </c>
      <c r="E6" s="17" t="s">
        <v>9</v>
      </c>
      <c r="F6" s="98"/>
      <c r="G6" s="414" t="s">
        <v>100</v>
      </c>
      <c r="H6" s="415" t="s">
        <v>33</v>
      </c>
      <c r="I6" s="17"/>
      <c r="J6" s="17"/>
      <c r="O6"/>
      <c r="P6"/>
      <c r="Q6"/>
    </row>
    <row r="7" spans="1:17">
      <c r="A7" s="21" t="s">
        <v>35</v>
      </c>
      <c r="B7" s="16"/>
      <c r="C7" s="189"/>
      <c r="D7" s="74">
        <f>jour_1!D7</f>
        <v>1700</v>
      </c>
      <c r="E7" s="17" t="s">
        <v>9</v>
      </c>
      <c r="F7" s="18"/>
      <c r="G7" s="416"/>
      <c r="H7" s="417" t="s">
        <v>816</v>
      </c>
      <c r="I7" s="17"/>
      <c r="J7" s="17"/>
      <c r="O7"/>
      <c r="P7"/>
      <c r="Q7"/>
    </row>
    <row r="8" spans="1:17" ht="45" customHeight="1">
      <c r="A8" s="17"/>
      <c r="B8" s="16"/>
      <c r="C8" s="188"/>
      <c r="D8" s="480" t="str">
        <f>IF(D5="non","",d!A24)</f>
        <v/>
      </c>
      <c r="E8" s="480"/>
      <c r="F8" s="480"/>
      <c r="G8" s="480"/>
      <c r="H8" s="480"/>
      <c r="I8" s="480"/>
      <c r="J8" s="480"/>
      <c r="K8" s="334"/>
      <c r="L8" s="243"/>
      <c r="O8"/>
      <c r="P8"/>
      <c r="Q8"/>
    </row>
    <row r="9" spans="1:17" ht="6" customHeight="1">
      <c r="A9" s="17"/>
      <c r="B9" s="16"/>
      <c r="C9" s="188"/>
      <c r="D9" s="18"/>
      <c r="E9" s="17"/>
      <c r="F9" s="18"/>
      <c r="G9" s="18"/>
      <c r="H9" s="17"/>
      <c r="I9" s="17"/>
      <c r="J9" s="17"/>
      <c r="O9"/>
      <c r="P9"/>
      <c r="Q9"/>
    </row>
    <row r="10" spans="1:17">
      <c r="A10" s="17"/>
      <c r="B10" s="26" t="s">
        <v>14</v>
      </c>
      <c r="C10" s="190"/>
      <c r="D10" s="28"/>
      <c r="E10" s="28"/>
      <c r="F10" s="133"/>
      <c r="G10" s="133"/>
      <c r="H10" s="28"/>
      <c r="I10" s="28"/>
      <c r="J10" s="29"/>
      <c r="O10"/>
      <c r="P10"/>
      <c r="Q10"/>
    </row>
    <row r="11" spans="1:17">
      <c r="A11" s="17"/>
      <c r="B11" s="30" t="s">
        <v>15</v>
      </c>
      <c r="C11" s="191"/>
      <c r="D11" s="15">
        <f>D7+D6</f>
        <v>1700</v>
      </c>
      <c r="E11" s="32" t="s">
        <v>7</v>
      </c>
      <c r="F11" s="31"/>
      <c r="G11" s="31"/>
      <c r="H11" s="33"/>
      <c r="I11" s="33"/>
      <c r="J11" s="34"/>
      <c r="O11"/>
      <c r="P11"/>
      <c r="Q11"/>
    </row>
    <row r="12" spans="1:17">
      <c r="A12" s="17"/>
      <c r="B12" s="30" t="s">
        <v>16</v>
      </c>
      <c r="C12" s="191"/>
      <c r="D12" s="23">
        <f>ABS(M13)</f>
        <v>299</v>
      </c>
      <c r="E12" s="32" t="s">
        <v>7</v>
      </c>
      <c r="F12" s="32" t="str">
        <f>IF(M13&gt;0,d!A44,d!A45)</f>
        <v>de moins que les menus Pan Metron du jour</v>
      </c>
      <c r="G12" s="31"/>
      <c r="H12" s="33"/>
      <c r="I12" s="33"/>
      <c r="J12" s="34"/>
      <c r="O12"/>
      <c r="P12"/>
      <c r="Q12"/>
    </row>
    <row r="13" spans="1:17" ht="13" customHeight="1">
      <c r="A13" s="24"/>
      <c r="B13" s="35"/>
      <c r="C13" s="192"/>
      <c r="D13" s="37"/>
      <c r="E13" s="1"/>
      <c r="F13" s="38" t="str">
        <f>IF(D5="non","",d!A46)</f>
        <v/>
      </c>
      <c r="G13" s="39"/>
      <c r="H13" s="38"/>
      <c r="I13" s="38"/>
      <c r="J13" s="40"/>
      <c r="M13" s="408">
        <f>D3+E81-D11</f>
        <v>299</v>
      </c>
      <c r="O13"/>
      <c r="P13"/>
      <c r="Q13"/>
    </row>
    <row r="14" spans="1:17" ht="8" customHeight="1">
      <c r="A14" s="24"/>
      <c r="B14" s="41"/>
      <c r="C14" s="193"/>
      <c r="D14" s="19"/>
      <c r="E14" s="42"/>
      <c r="F14" s="43"/>
      <c r="G14" s="43"/>
      <c r="H14" s="42"/>
      <c r="I14" s="42"/>
      <c r="J14" s="42"/>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O15"/>
      <c r="P15"/>
      <c r="Q15"/>
    </row>
    <row r="16" spans="1:17" ht="12" customHeight="1">
      <c r="A16" s="17"/>
      <c r="B16" s="22"/>
      <c r="C16" s="194"/>
      <c r="D16" s="22"/>
      <c r="E16" s="22"/>
      <c r="F16" s="134"/>
      <c r="G16" s="134"/>
      <c r="H16" s="22"/>
      <c r="I16" s="22"/>
      <c r="J16" s="22"/>
      <c r="K16" s="22"/>
      <c r="L16" s="244"/>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01"/>
      <c r="D18" s="481" t="s">
        <v>7</v>
      </c>
      <c r="E18" s="482"/>
      <c r="F18" s="18"/>
      <c r="G18" s="43"/>
      <c r="H18" s="487" t="str">
        <f>A18</f>
        <v>g/cl</v>
      </c>
      <c r="I18" s="489" t="str">
        <f>B18</f>
        <v>Ingrédients</v>
      </c>
      <c r="J18" s="70" t="s">
        <v>7</v>
      </c>
      <c r="M18" s="411">
        <f>100-(D12/((D11+D12)/100))</f>
        <v>85.042521260630309</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243</v>
      </c>
      <c r="B21" s="16"/>
      <c r="C21" s="209"/>
      <c r="D21" s="17"/>
      <c r="E21" s="17"/>
      <c r="F21" s="18"/>
      <c r="G21" s="43"/>
      <c r="H21" s="17"/>
      <c r="I21" s="17"/>
      <c r="J21" s="17"/>
      <c r="L21" s="154"/>
      <c r="P21"/>
      <c r="Q21"/>
    </row>
    <row r="22" spans="1:17">
      <c r="A22" s="438">
        <v>60</v>
      </c>
      <c r="B22" s="2" t="s">
        <v>134</v>
      </c>
      <c r="C22" s="185" t="s">
        <v>676</v>
      </c>
      <c r="D22" s="51">
        <v>134</v>
      </c>
      <c r="E22" s="49">
        <f t="shared" ref="E22:E28" si="0">D22/100*A22</f>
        <v>80.400000000000006</v>
      </c>
      <c r="F22" s="18"/>
      <c r="G22" s="43"/>
      <c r="H22" s="55">
        <f t="shared" ref="H22:H28" si="1">IF(E22=0,A22,A22/E22*J22)</f>
        <v>51.025512756378191</v>
      </c>
      <c r="I22" s="2" t="str">
        <f t="shared" ref="I22:I28" si="2">B22</f>
        <v>œuf à la coque</v>
      </c>
      <c r="J22" s="49">
        <f>E22*$M$18%</f>
        <v>68.37418709354678</v>
      </c>
      <c r="M22" s="411"/>
      <c r="Q22"/>
    </row>
    <row r="23" spans="1:17">
      <c r="A23" s="438">
        <v>0.5</v>
      </c>
      <c r="B23" s="2" t="s">
        <v>109</v>
      </c>
      <c r="C23" s="197" t="s">
        <v>674</v>
      </c>
      <c r="D23" s="51">
        <v>0</v>
      </c>
      <c r="E23" s="49">
        <f t="shared" si="0"/>
        <v>0</v>
      </c>
      <c r="F23" s="18"/>
      <c r="G23" s="43"/>
      <c r="H23" s="55">
        <f t="shared" si="1"/>
        <v>0.5</v>
      </c>
      <c r="I23" s="2" t="str">
        <f t="shared" si="2"/>
        <v>sel</v>
      </c>
      <c r="J23" s="49">
        <f t="shared" ref="J23:J28" si="3">E23*$M$18%</f>
        <v>0</v>
      </c>
      <c r="Q23"/>
    </row>
    <row r="24" spans="1:17">
      <c r="A24" s="438">
        <v>40</v>
      </c>
      <c r="B24" s="2" t="s">
        <v>102</v>
      </c>
      <c r="C24" s="196" t="s">
        <v>673</v>
      </c>
      <c r="D24" s="51">
        <v>229</v>
      </c>
      <c r="E24" s="49">
        <f t="shared" si="0"/>
        <v>91.6</v>
      </c>
      <c r="F24" s="18"/>
      <c r="G24" s="43"/>
      <c r="H24" s="55">
        <f t="shared" si="1"/>
        <v>34.017008504252125</v>
      </c>
      <c r="I24" s="2" t="str">
        <f t="shared" si="2"/>
        <v>pain complet</v>
      </c>
      <c r="J24" s="49">
        <f t="shared" si="3"/>
        <v>77.898949474737364</v>
      </c>
      <c r="O24" s="45"/>
      <c r="Q24"/>
    </row>
    <row r="25" spans="1:17">
      <c r="A25" s="438">
        <v>125</v>
      </c>
      <c r="B25" s="2" t="s">
        <v>137</v>
      </c>
      <c r="C25" s="185" t="s">
        <v>676</v>
      </c>
      <c r="D25" s="51">
        <v>71</v>
      </c>
      <c r="E25" s="49">
        <f t="shared" si="0"/>
        <v>88.75</v>
      </c>
      <c r="F25" s="18"/>
      <c r="G25" s="43"/>
      <c r="H25" s="55">
        <f t="shared" si="1"/>
        <v>106.30315157578788</v>
      </c>
      <c r="I25" s="2" t="str">
        <f t="shared" si="2"/>
        <v>fromage blanc 20%</v>
      </c>
      <c r="J25" s="49">
        <f t="shared" si="3"/>
        <v>75.475237618809402</v>
      </c>
      <c r="O25" s="45"/>
      <c r="Q25"/>
    </row>
    <row r="26" spans="1:17">
      <c r="A26" s="438">
        <v>100</v>
      </c>
      <c r="B26" s="2" t="s">
        <v>136</v>
      </c>
      <c r="C26" s="199" t="s">
        <v>675</v>
      </c>
      <c r="D26" s="51">
        <v>67</v>
      </c>
      <c r="E26" s="49">
        <f t="shared" si="0"/>
        <v>67</v>
      </c>
      <c r="F26" s="18"/>
      <c r="G26" s="43"/>
      <c r="H26" s="55">
        <f t="shared" si="1"/>
        <v>85.042521260630323</v>
      </c>
      <c r="I26" s="2" t="str">
        <f t="shared" si="2"/>
        <v>salade de fruits frais</v>
      </c>
      <c r="J26" s="49">
        <f t="shared" si="3"/>
        <v>56.97848924462231</v>
      </c>
      <c r="O26" s="45"/>
      <c r="Q26"/>
    </row>
    <row r="27" spans="1:17">
      <c r="A27" s="438">
        <v>150</v>
      </c>
      <c r="B27" s="2" t="s">
        <v>135</v>
      </c>
      <c r="C27" s="203"/>
      <c r="D27" s="51">
        <v>0</v>
      </c>
      <c r="E27" s="49">
        <f t="shared" si="0"/>
        <v>0</v>
      </c>
      <c r="F27" s="18"/>
      <c r="G27" s="43"/>
      <c r="H27" s="55">
        <f t="shared" si="1"/>
        <v>150</v>
      </c>
      <c r="I27" s="2" t="str">
        <f t="shared" si="2"/>
        <v>thé</v>
      </c>
      <c r="J27" s="49">
        <f t="shared" si="3"/>
        <v>0</v>
      </c>
      <c r="O27" s="45"/>
      <c r="Q27"/>
    </row>
    <row r="28" spans="1:17">
      <c r="A28" s="438">
        <v>12</v>
      </c>
      <c r="B28" s="2" t="s">
        <v>2</v>
      </c>
      <c r="C28" s="197" t="s">
        <v>674</v>
      </c>
      <c r="D28" s="51">
        <v>400</v>
      </c>
      <c r="E28" s="49">
        <f t="shared" si="0"/>
        <v>48</v>
      </c>
      <c r="F28" s="18"/>
      <c r="G28" s="43"/>
      <c r="H28" s="55">
        <f t="shared" si="1"/>
        <v>10.205102551275637</v>
      </c>
      <c r="I28" s="2" t="str">
        <f t="shared" si="2"/>
        <v>sucre</v>
      </c>
      <c r="J28" s="49">
        <f t="shared" si="3"/>
        <v>40.820410205102547</v>
      </c>
      <c r="O28" s="45"/>
      <c r="Q28"/>
    </row>
    <row r="29" spans="1:17">
      <c r="A29" s="42"/>
      <c r="B29" s="131"/>
      <c r="C29" s="200"/>
      <c r="E29" s="130" t="s">
        <v>6</v>
      </c>
      <c r="F29" s="135">
        <f>SUM(E22:E28)</f>
        <v>375.75</v>
      </c>
      <c r="G29" s="128"/>
      <c r="H29" s="42"/>
      <c r="I29" s="131"/>
      <c r="J29" s="130" t="s">
        <v>6</v>
      </c>
      <c r="K29" s="336">
        <f>SUM(J22:J28)</f>
        <v>319.54727363681843</v>
      </c>
      <c r="O29" s="45"/>
      <c r="Q29"/>
    </row>
    <row r="30" spans="1:17">
      <c r="A30" s="216" t="s">
        <v>225</v>
      </c>
      <c r="B30" s="16"/>
      <c r="C30" s="209"/>
      <c r="D30" s="17"/>
      <c r="E30" s="17"/>
      <c r="F30" s="18"/>
      <c r="G30" s="43"/>
      <c r="H30" s="17"/>
      <c r="I30" s="17"/>
      <c r="J30" s="17"/>
      <c r="L30" s="154"/>
      <c r="P30"/>
      <c r="Q30"/>
    </row>
    <row r="31" spans="1:17">
      <c r="A31" s="66" t="s">
        <v>388</v>
      </c>
      <c r="B31" s="257"/>
      <c r="C31" s="257"/>
      <c r="D31" s="257"/>
      <c r="E31" s="257"/>
      <c r="F31" s="257"/>
      <c r="G31" s="257"/>
      <c r="H31" s="257"/>
      <c r="I31" s="257"/>
      <c r="J31" s="258"/>
      <c r="L31" s="154"/>
      <c r="O31" s="45"/>
      <c r="Q31"/>
    </row>
    <row r="32" spans="1:17">
      <c r="A32" s="439">
        <f>230/4</f>
        <v>57.5</v>
      </c>
      <c r="B32" s="2" t="s">
        <v>393</v>
      </c>
      <c r="C32" s="185" t="s">
        <v>676</v>
      </c>
      <c r="D32" s="253">
        <v>19</v>
      </c>
      <c r="E32" s="254">
        <f t="shared" ref="E32:E42" si="4">D32/100*A32</f>
        <v>10.925000000000001</v>
      </c>
      <c r="F32" s="68"/>
      <c r="G32" s="43"/>
      <c r="H32" s="255">
        <f t="shared" ref="H32:H42" si="5">IF(E32=0,A32,A32/E32*J32)</f>
        <v>48.899449724862428</v>
      </c>
      <c r="I32" s="251" t="str">
        <f t="shared" ref="I32:I42" si="6">B32</f>
        <v>champignons de Paris en boîte</v>
      </c>
      <c r="J32" s="254">
        <f t="shared" ref="J32:J42" si="7">E32*$M$18%</f>
        <v>9.2908954477238623</v>
      </c>
      <c r="O32" s="45"/>
      <c r="Q32"/>
    </row>
    <row r="33" spans="1:17">
      <c r="A33" s="439">
        <v>10</v>
      </c>
      <c r="B33" s="2" t="s">
        <v>394</v>
      </c>
      <c r="C33" s="185" t="s">
        <v>676</v>
      </c>
      <c r="D33" s="253">
        <v>35</v>
      </c>
      <c r="E33" s="49">
        <f t="shared" si="4"/>
        <v>3.5</v>
      </c>
      <c r="F33" s="68"/>
      <c r="G33" s="128"/>
      <c r="H33" s="55">
        <f t="shared" si="5"/>
        <v>8.5042521260630313</v>
      </c>
      <c r="I33" s="2" t="str">
        <f t="shared" si="6"/>
        <v>échalote</v>
      </c>
      <c r="J33" s="49">
        <f t="shared" si="7"/>
        <v>2.976488244122061</v>
      </c>
      <c r="O33" s="45"/>
      <c r="Q33"/>
    </row>
    <row r="34" spans="1:17">
      <c r="A34" s="439">
        <f>40*3</f>
        <v>120</v>
      </c>
      <c r="B34" s="2" t="s">
        <v>161</v>
      </c>
      <c r="C34" s="196" t="s">
        <v>673</v>
      </c>
      <c r="D34" s="253">
        <v>125</v>
      </c>
      <c r="E34" s="49">
        <f t="shared" si="4"/>
        <v>150</v>
      </c>
      <c r="F34" s="68"/>
      <c r="G34" s="128"/>
      <c r="H34" s="55">
        <f t="shared" si="5"/>
        <v>102.05102551275638</v>
      </c>
      <c r="I34" s="2" t="str">
        <f t="shared" si="6"/>
        <v>jambon</v>
      </c>
      <c r="J34" s="49">
        <f t="shared" si="7"/>
        <v>127.56378189094546</v>
      </c>
      <c r="O34" s="45"/>
      <c r="Q34"/>
    </row>
    <row r="35" spans="1:17">
      <c r="A35" s="439">
        <f>250/4</f>
        <v>62.5</v>
      </c>
      <c r="B35" s="2" t="s">
        <v>145</v>
      </c>
      <c r="C35" s="197" t="s">
        <v>674</v>
      </c>
      <c r="D35" s="253">
        <v>252</v>
      </c>
      <c r="E35" s="49">
        <f t="shared" si="4"/>
        <v>157.5</v>
      </c>
      <c r="F35" s="68"/>
      <c r="G35" s="128"/>
      <c r="H35" s="55">
        <f t="shared" si="5"/>
        <v>53.15157578789394</v>
      </c>
      <c r="I35" s="2" t="str">
        <f t="shared" si="6"/>
        <v>crème</v>
      </c>
      <c r="J35" s="49">
        <f t="shared" si="7"/>
        <v>133.94197098549273</v>
      </c>
      <c r="O35" s="45"/>
      <c r="Q35"/>
    </row>
    <row r="36" spans="1:17">
      <c r="A36" s="439">
        <v>3</v>
      </c>
      <c r="B36" s="2" t="s">
        <v>359</v>
      </c>
      <c r="C36" s="196" t="s">
        <v>673</v>
      </c>
      <c r="D36" s="253">
        <v>353</v>
      </c>
      <c r="E36" s="49">
        <f t="shared" si="4"/>
        <v>10.59</v>
      </c>
      <c r="F36" s="68"/>
      <c r="G36" s="128"/>
      <c r="H36" s="55">
        <f t="shared" si="5"/>
        <v>2.5512756378189092</v>
      </c>
      <c r="I36" s="2" t="str">
        <f t="shared" si="6"/>
        <v xml:space="preserve">maïzena </v>
      </c>
      <c r="J36" s="49">
        <f t="shared" si="7"/>
        <v>9.0060030015007495</v>
      </c>
      <c r="O36" s="45"/>
      <c r="Q36"/>
    </row>
    <row r="37" spans="1:17">
      <c r="A37" s="439">
        <f>80/4</f>
        <v>20</v>
      </c>
      <c r="B37" s="2" t="s">
        <v>395</v>
      </c>
      <c r="C37" s="276"/>
      <c r="D37" s="253"/>
      <c r="E37" s="49">
        <f t="shared" si="4"/>
        <v>0</v>
      </c>
      <c r="F37" s="68"/>
      <c r="G37" s="128"/>
      <c r="H37" s="55">
        <f t="shared" si="5"/>
        <v>20</v>
      </c>
      <c r="I37" s="2" t="str">
        <f t="shared" si="6"/>
        <v xml:space="preserve"> cognac</v>
      </c>
      <c r="J37" s="49">
        <f t="shared" si="7"/>
        <v>0</v>
      </c>
      <c r="O37" s="45"/>
      <c r="Q37"/>
    </row>
    <row r="38" spans="1:17">
      <c r="A38" s="439">
        <v>3</v>
      </c>
      <c r="B38" s="2" t="s">
        <v>0</v>
      </c>
      <c r="C38" s="197" t="s">
        <v>674</v>
      </c>
      <c r="D38" s="253">
        <v>747</v>
      </c>
      <c r="E38" s="49">
        <f>D38/100*A38</f>
        <v>22.41</v>
      </c>
      <c r="F38" s="68"/>
      <c r="G38" s="128"/>
      <c r="H38" s="55">
        <f>IF(E38=0,A38,A38/E38*J38)</f>
        <v>2.5512756378189092</v>
      </c>
      <c r="I38" s="2" t="str">
        <f>B38</f>
        <v>beurre</v>
      </c>
      <c r="J38" s="49">
        <f>E38*$M$18%</f>
        <v>19.058029014507252</v>
      </c>
      <c r="O38" s="45"/>
      <c r="Q38"/>
    </row>
    <row r="39" spans="1:17">
      <c r="A39" s="439">
        <v>62.5</v>
      </c>
      <c r="B39" s="2" t="s">
        <v>314</v>
      </c>
      <c r="C39" s="281" t="s">
        <v>676</v>
      </c>
      <c r="D39" s="253">
        <v>349</v>
      </c>
      <c r="E39" s="49">
        <f t="shared" si="4"/>
        <v>218.125</v>
      </c>
      <c r="F39" s="68"/>
      <c r="G39" s="128"/>
      <c r="H39" s="55">
        <f t="shared" si="5"/>
        <v>53.15157578789394</v>
      </c>
      <c r="I39" s="2" t="str">
        <f t="shared" si="6"/>
        <v>riz blanc</v>
      </c>
      <c r="J39" s="49">
        <f t="shared" si="7"/>
        <v>185.49899949974986</v>
      </c>
      <c r="O39" s="45"/>
      <c r="Q39"/>
    </row>
    <row r="40" spans="1:17">
      <c r="A40" s="439">
        <f>450/3</f>
        <v>150</v>
      </c>
      <c r="B40" s="2" t="s">
        <v>240</v>
      </c>
      <c r="C40" s="185" t="s">
        <v>676</v>
      </c>
      <c r="D40" s="253">
        <v>19</v>
      </c>
      <c r="E40" s="49">
        <f t="shared" si="4"/>
        <v>28.5</v>
      </c>
      <c r="F40" s="68"/>
      <c r="G40" s="128"/>
      <c r="H40" s="55">
        <f t="shared" si="5"/>
        <v>127.56378189094548</v>
      </c>
      <c r="I40" s="2" t="str">
        <f>B40</f>
        <v>tomates</v>
      </c>
      <c r="J40" s="49">
        <f>E40*$M$18%</f>
        <v>24.23711855927964</v>
      </c>
      <c r="O40" s="45"/>
      <c r="P40"/>
      <c r="Q40"/>
    </row>
    <row r="41" spans="1:17">
      <c r="A41" s="439">
        <v>25</v>
      </c>
      <c r="B41" s="2" t="s">
        <v>239</v>
      </c>
      <c r="C41" s="185" t="s">
        <v>676</v>
      </c>
      <c r="D41" s="253">
        <v>18</v>
      </c>
      <c r="E41" s="49">
        <f t="shared" si="4"/>
        <v>4.5</v>
      </c>
      <c r="F41" s="68"/>
      <c r="G41" s="128"/>
      <c r="H41" s="55">
        <f t="shared" si="5"/>
        <v>21.260630315157577</v>
      </c>
      <c r="I41" s="2" t="str">
        <f t="shared" si="6"/>
        <v>salade</v>
      </c>
      <c r="J41" s="49">
        <f t="shared" si="7"/>
        <v>3.8269134567283638</v>
      </c>
      <c r="O41" s="45"/>
      <c r="Q41"/>
    </row>
    <row r="42" spans="1:17">
      <c r="A42" s="439">
        <v>12</v>
      </c>
      <c r="B42" s="2" t="s">
        <v>387</v>
      </c>
      <c r="C42" s="197" t="s">
        <v>674</v>
      </c>
      <c r="D42" s="253">
        <v>472</v>
      </c>
      <c r="E42" s="49">
        <f t="shared" si="4"/>
        <v>56.64</v>
      </c>
      <c r="F42" s="68"/>
      <c r="G42" s="128"/>
      <c r="H42" s="55">
        <f t="shared" si="5"/>
        <v>10.205102551275637</v>
      </c>
      <c r="I42" s="2" t="str">
        <f t="shared" si="6"/>
        <v>sauce italienne</v>
      </c>
      <c r="J42" s="49">
        <f t="shared" si="7"/>
        <v>48.168084042021007</v>
      </c>
      <c r="O42" s="45"/>
      <c r="Q42"/>
    </row>
    <row r="43" spans="1:17">
      <c r="A43" s="439">
        <v>0.5</v>
      </c>
      <c r="B43" s="2" t="s">
        <v>109</v>
      </c>
      <c r="C43" s="197" t="s">
        <v>674</v>
      </c>
      <c r="D43" s="253">
        <v>473</v>
      </c>
      <c r="E43" s="49">
        <f t="shared" ref="E43:E44" si="8">D43/100*A43</f>
        <v>2.3650000000000002</v>
      </c>
      <c r="F43" s="68"/>
      <c r="G43" s="128"/>
      <c r="H43" s="55">
        <f t="shared" ref="H43:H44" si="9">IF(E43=0,A43,A43/E43*J43)</f>
        <v>0.4252126063031515</v>
      </c>
      <c r="I43" s="2" t="str">
        <f t="shared" ref="I43:I44" si="10">B43</f>
        <v>sel</v>
      </c>
      <c r="J43" s="49">
        <f t="shared" ref="J43:J44" si="11">E43*$M$18%</f>
        <v>2.0112556278139069</v>
      </c>
      <c r="O43" s="45"/>
      <c r="Q43"/>
    </row>
    <row r="44" spans="1:17">
      <c r="A44" s="439">
        <v>0.25</v>
      </c>
      <c r="B44" s="2" t="s">
        <v>116</v>
      </c>
      <c r="C44" s="199" t="s">
        <v>675</v>
      </c>
      <c r="D44" s="253">
        <v>474</v>
      </c>
      <c r="E44" s="49">
        <f t="shared" si="8"/>
        <v>1.1850000000000001</v>
      </c>
      <c r="F44" s="68"/>
      <c r="G44" s="128"/>
      <c r="H44" s="55">
        <f t="shared" si="9"/>
        <v>0.21260630315157578</v>
      </c>
      <c r="I44" s="2" t="str">
        <f t="shared" si="10"/>
        <v>poivre</v>
      </c>
      <c r="J44" s="49">
        <f t="shared" si="11"/>
        <v>1.0077538769384693</v>
      </c>
      <c r="O44" s="45"/>
      <c r="Q44"/>
    </row>
    <row r="45" spans="1:17">
      <c r="A45" s="42"/>
      <c r="B45" s="131"/>
      <c r="C45" s="200"/>
      <c r="E45" s="130" t="s">
        <v>6</v>
      </c>
      <c r="F45" s="138">
        <f>SUM(E32:E44)</f>
        <v>666.2399999999999</v>
      </c>
      <c r="G45" s="128"/>
      <c r="H45" s="42"/>
      <c r="I45" s="131"/>
      <c r="J45" s="130" t="s">
        <v>6</v>
      </c>
      <c r="K45" s="336">
        <f>SUM(J32:J44)</f>
        <v>566.58729364682335</v>
      </c>
      <c r="O45" s="45"/>
      <c r="Q45"/>
    </row>
    <row r="46" spans="1:17" ht="6" customHeight="1">
      <c r="A46" s="17"/>
      <c r="B46" s="17"/>
      <c r="C46" s="188"/>
      <c r="D46" s="68"/>
      <c r="E46" s="17"/>
      <c r="F46" s="18"/>
      <c r="G46" s="43"/>
      <c r="H46" s="17"/>
      <c r="I46" s="17"/>
      <c r="J46" s="17"/>
      <c r="O46" s="45"/>
      <c r="P46"/>
      <c r="Q46"/>
    </row>
    <row r="47" spans="1:17">
      <c r="A47" s="216" t="s">
        <v>228</v>
      </c>
      <c r="B47" s="16"/>
      <c r="C47" s="209"/>
      <c r="D47" s="17"/>
      <c r="E47" s="17"/>
      <c r="F47" s="18"/>
      <c r="G47" s="43"/>
      <c r="H47" s="17"/>
      <c r="I47" s="17"/>
      <c r="J47" s="17"/>
      <c r="P47"/>
      <c r="Q47"/>
    </row>
    <row r="48" spans="1:17">
      <c r="A48" s="438">
        <v>150</v>
      </c>
      <c r="B48" s="2" t="s">
        <v>4</v>
      </c>
      <c r="C48" s="199" t="s">
        <v>675</v>
      </c>
      <c r="D48" s="51">
        <v>55</v>
      </c>
      <c r="E48" s="49">
        <f>D48/100*A48</f>
        <v>82.5</v>
      </c>
      <c r="F48" s="18"/>
      <c r="G48" s="43"/>
      <c r="H48" s="55">
        <f>IF(E48=0,A48,A48/E48*J48)</f>
        <v>127.56378189094546</v>
      </c>
      <c r="I48" s="2" t="str">
        <f>B48</f>
        <v>pomme</v>
      </c>
      <c r="J48" s="49">
        <f>E48*$M$18%</f>
        <v>70.160080040020006</v>
      </c>
    </row>
    <row r="49" spans="1:17">
      <c r="A49" s="438">
        <v>10</v>
      </c>
      <c r="B49" s="2" t="s">
        <v>391</v>
      </c>
      <c r="C49" s="197" t="s">
        <v>674</v>
      </c>
      <c r="D49" s="51">
        <v>519</v>
      </c>
      <c r="E49" s="49">
        <f>D49/100*A49</f>
        <v>51.900000000000006</v>
      </c>
      <c r="F49" s="18"/>
      <c r="G49" s="43"/>
      <c r="H49" s="55">
        <f>IF(E49=0,A49,A49/E49*J49)</f>
        <v>8.5042521260630313</v>
      </c>
      <c r="I49" s="2" t="str">
        <f>B49</f>
        <v>chocolat noir</v>
      </c>
      <c r="J49" s="49">
        <f>E49*$M$18%</f>
        <v>44.137068534267136</v>
      </c>
    </row>
    <row r="50" spans="1:17">
      <c r="A50" s="42"/>
      <c r="B50" s="157"/>
      <c r="C50" s="272"/>
      <c r="E50" s="130" t="s">
        <v>6</v>
      </c>
      <c r="F50" s="135">
        <f>SUM(E48:E49)</f>
        <v>134.4</v>
      </c>
      <c r="G50" s="140"/>
      <c r="H50" s="42"/>
      <c r="I50" s="131"/>
      <c r="J50" s="130" t="s">
        <v>6</v>
      </c>
      <c r="K50" s="336">
        <f>SUM(J48:J49)</f>
        <v>114.29714857428715</v>
      </c>
      <c r="L50" s="154"/>
      <c r="O50" s="45"/>
      <c r="Q50"/>
    </row>
    <row r="51" spans="1:17">
      <c r="A51" s="216" t="s">
        <v>226</v>
      </c>
      <c r="B51" s="16"/>
      <c r="C51" s="209"/>
      <c r="D51" s="17"/>
      <c r="E51" s="17"/>
      <c r="F51" s="18"/>
      <c r="G51" s="43"/>
      <c r="H51" s="17"/>
      <c r="I51" s="17"/>
      <c r="J51" s="17"/>
      <c r="P51"/>
      <c r="Q51"/>
    </row>
    <row r="52" spans="1:17">
      <c r="A52" s="66" t="s">
        <v>389</v>
      </c>
      <c r="B52" s="257"/>
      <c r="C52" s="257"/>
      <c r="D52" s="257"/>
      <c r="E52" s="257"/>
      <c r="F52" s="257"/>
      <c r="G52" s="257"/>
      <c r="H52" s="257"/>
      <c r="I52" s="257"/>
      <c r="J52" s="258"/>
      <c r="O52" s="45"/>
      <c r="Q52"/>
    </row>
    <row r="53" spans="1:17">
      <c r="A53" s="439">
        <v>50</v>
      </c>
      <c r="B53" s="2" t="s">
        <v>175</v>
      </c>
      <c r="C53" s="185" t="s">
        <v>676</v>
      </c>
      <c r="D53" s="253">
        <v>29</v>
      </c>
      <c r="E53" s="49">
        <f t="shared" ref="E53:E72" si="12">D53/100*A53</f>
        <v>14.499999999999998</v>
      </c>
      <c r="F53" s="68"/>
      <c r="G53" s="128"/>
      <c r="H53" s="55">
        <f t="shared" ref="H53:H72" si="13">IF(E53=0,A53,A53/E53*J53)</f>
        <v>42.521260630315155</v>
      </c>
      <c r="I53" s="2" t="str">
        <f t="shared" ref="I53:I71" si="14">B53</f>
        <v>oignons</v>
      </c>
      <c r="J53" s="49">
        <f t="shared" ref="J53:J81" si="15">E53*$M$18%</f>
        <v>12.331165582791394</v>
      </c>
      <c r="O53" s="45"/>
      <c r="P53"/>
      <c r="Q53"/>
    </row>
    <row r="54" spans="1:17">
      <c r="A54" s="439">
        <v>3</v>
      </c>
      <c r="B54" s="2" t="s">
        <v>169</v>
      </c>
      <c r="C54" s="185" t="s">
        <v>676</v>
      </c>
      <c r="D54" s="253">
        <v>131</v>
      </c>
      <c r="E54" s="49">
        <f t="shared" si="12"/>
        <v>3.93</v>
      </c>
      <c r="F54" s="68"/>
      <c r="G54" s="128"/>
      <c r="H54" s="55">
        <f t="shared" si="13"/>
        <v>2.5512756378189092</v>
      </c>
      <c r="I54" s="2" t="str">
        <f t="shared" si="14"/>
        <v>aïl</v>
      </c>
      <c r="J54" s="49">
        <f t="shared" si="15"/>
        <v>3.3421710855427715</v>
      </c>
      <c r="L54" s="154"/>
      <c r="O54" s="45"/>
      <c r="P54"/>
      <c r="Q54"/>
    </row>
    <row r="55" spans="1:17">
      <c r="A55" s="439">
        <v>0.25</v>
      </c>
      <c r="B55" s="2" t="s">
        <v>369</v>
      </c>
      <c r="C55" s="276"/>
      <c r="D55" s="253"/>
      <c r="E55" s="49">
        <f t="shared" si="12"/>
        <v>0</v>
      </c>
      <c r="F55" s="68"/>
      <c r="G55" s="128"/>
      <c r="H55" s="55">
        <f t="shared" si="13"/>
        <v>0.25</v>
      </c>
      <c r="I55" s="2" t="str">
        <f t="shared" si="14"/>
        <v>cannelle en poudre</v>
      </c>
      <c r="J55" s="49">
        <f t="shared" si="15"/>
        <v>0</v>
      </c>
      <c r="L55" s="154"/>
      <c r="O55" s="45"/>
      <c r="P55"/>
      <c r="Q55"/>
    </row>
    <row r="56" spans="1:17">
      <c r="A56" s="439">
        <v>0.25</v>
      </c>
      <c r="B56" s="2" t="s">
        <v>396</v>
      </c>
      <c r="C56" s="199" t="s">
        <v>675</v>
      </c>
      <c r="D56" s="253">
        <v>322</v>
      </c>
      <c r="E56" s="49">
        <f t="shared" si="12"/>
        <v>0.80500000000000005</v>
      </c>
      <c r="F56" s="68"/>
      <c r="G56" s="128"/>
      <c r="H56" s="55">
        <f t="shared" si="13"/>
        <v>0.21260630315157578</v>
      </c>
      <c r="I56" s="2" t="str">
        <f t="shared" si="14"/>
        <v>gingembre en poudre</v>
      </c>
      <c r="J56" s="49">
        <f t="shared" si="15"/>
        <v>0.68459229614807404</v>
      </c>
      <c r="O56" s="45"/>
      <c r="P56"/>
      <c r="Q56"/>
    </row>
    <row r="57" spans="1:17">
      <c r="A57" s="439">
        <v>0.25</v>
      </c>
      <c r="B57" s="2" t="s">
        <v>397</v>
      </c>
      <c r="C57" s="196" t="s">
        <v>673</v>
      </c>
      <c r="D57" s="253">
        <v>376</v>
      </c>
      <c r="E57" s="49">
        <f t="shared" si="12"/>
        <v>0.94</v>
      </c>
      <c r="F57" s="68"/>
      <c r="G57" s="128"/>
      <c r="H57" s="55">
        <f t="shared" si="13"/>
        <v>0.21260630315157575</v>
      </c>
      <c r="I57" s="2" t="str">
        <f t="shared" si="14"/>
        <v>piment en poudre</v>
      </c>
      <c r="J57" s="49">
        <f t="shared" si="15"/>
        <v>0.79939969984992487</v>
      </c>
      <c r="O57" s="45"/>
      <c r="P57"/>
      <c r="Q57"/>
    </row>
    <row r="58" spans="1:17">
      <c r="A58" s="439">
        <v>0.03</v>
      </c>
      <c r="B58" s="2" t="s">
        <v>398</v>
      </c>
      <c r="C58" s="249" t="s">
        <v>677</v>
      </c>
      <c r="D58" s="253">
        <v>352</v>
      </c>
      <c r="E58" s="49">
        <f t="shared" si="12"/>
        <v>0.1056</v>
      </c>
      <c r="F58" s="68"/>
      <c r="G58" s="128"/>
      <c r="H58" s="55">
        <f t="shared" si="13"/>
        <v>2.5512756378189089E-2</v>
      </c>
      <c r="I58" s="2" t="str">
        <f t="shared" si="14"/>
        <v xml:space="preserve"> safran moulu</v>
      </c>
      <c r="J58" s="49">
        <f t="shared" si="15"/>
        <v>8.9804902451225604E-2</v>
      </c>
      <c r="O58" s="45"/>
      <c r="P58"/>
      <c r="Q58"/>
    </row>
    <row r="59" spans="1:17">
      <c r="A59" s="439">
        <v>50</v>
      </c>
      <c r="B59" s="2" t="s">
        <v>399</v>
      </c>
      <c r="C59" s="185" t="s">
        <v>676</v>
      </c>
      <c r="D59" s="253">
        <v>19</v>
      </c>
      <c r="E59" s="49">
        <f t="shared" si="12"/>
        <v>9.5</v>
      </c>
      <c r="F59" s="68"/>
      <c r="G59" s="128"/>
      <c r="H59" s="55">
        <f t="shared" si="13"/>
        <v>42.521260630315155</v>
      </c>
      <c r="I59" s="2" t="str">
        <f t="shared" si="14"/>
        <v>courgettes</v>
      </c>
      <c r="J59" s="49">
        <f t="shared" si="15"/>
        <v>8.0790395197598794</v>
      </c>
      <c r="O59" s="45"/>
      <c r="P59"/>
      <c r="Q59"/>
    </row>
    <row r="60" spans="1:17">
      <c r="A60" s="439">
        <v>50</v>
      </c>
      <c r="B60" s="2" t="s">
        <v>141</v>
      </c>
      <c r="C60" s="185" t="s">
        <v>676</v>
      </c>
      <c r="D60" s="253">
        <v>30</v>
      </c>
      <c r="E60" s="49">
        <f t="shared" si="12"/>
        <v>15</v>
      </c>
      <c r="F60" s="68"/>
      <c r="G60" s="128"/>
      <c r="H60" s="55">
        <f t="shared" si="13"/>
        <v>42.521260630315155</v>
      </c>
      <c r="I60" s="2" t="str">
        <f t="shared" si="14"/>
        <v>carottes</v>
      </c>
      <c r="J60" s="49">
        <f t="shared" si="15"/>
        <v>12.756378189094546</v>
      </c>
      <c r="O60" s="45"/>
      <c r="P60"/>
      <c r="Q60"/>
    </row>
    <row r="61" spans="1:17">
      <c r="A61" s="439">
        <v>50</v>
      </c>
      <c r="B61" s="2" t="s">
        <v>400</v>
      </c>
      <c r="C61" s="185" t="s">
        <v>676</v>
      </c>
      <c r="D61" s="253">
        <v>23</v>
      </c>
      <c r="E61" s="49">
        <f t="shared" si="12"/>
        <v>11.5</v>
      </c>
      <c r="F61" s="68"/>
      <c r="G61" s="128"/>
      <c r="H61" s="55">
        <f t="shared" si="13"/>
        <v>42.521260630315147</v>
      </c>
      <c r="I61" s="2" t="str">
        <f t="shared" si="14"/>
        <v xml:space="preserve"> courge</v>
      </c>
      <c r="J61" s="49">
        <f t="shared" si="15"/>
        <v>9.779889944972485</v>
      </c>
      <c r="O61" s="45"/>
      <c r="P61"/>
      <c r="Q61"/>
    </row>
    <row r="62" spans="1:17">
      <c r="A62" s="439">
        <v>50</v>
      </c>
      <c r="B62" s="2" t="s">
        <v>401</v>
      </c>
      <c r="C62" s="185" t="s">
        <v>676</v>
      </c>
      <c r="D62" s="253">
        <v>86</v>
      </c>
      <c r="E62" s="49">
        <f t="shared" ref="E62:E65" si="16">D62/100*A62</f>
        <v>43</v>
      </c>
      <c r="F62" s="68"/>
      <c r="G62" s="128"/>
      <c r="H62" s="55">
        <f t="shared" ref="H62:H65" si="17">IF(E62=0,A62,A62/E62*J62)</f>
        <v>42.521260630315162</v>
      </c>
      <c r="I62" s="2" t="str">
        <f t="shared" ref="I62:I65" si="18">B62</f>
        <v>patate douces</v>
      </c>
      <c r="J62" s="49">
        <f t="shared" ref="J62:J65" si="19">E62*$M$18%</f>
        <v>36.568284142071036</v>
      </c>
      <c r="O62" s="45"/>
      <c r="P62"/>
      <c r="Q62"/>
    </row>
    <row r="63" spans="1:17">
      <c r="A63" s="439">
        <v>50</v>
      </c>
      <c r="B63" s="2" t="s">
        <v>402</v>
      </c>
      <c r="C63" s="185" t="s">
        <v>676</v>
      </c>
      <c r="D63" s="253">
        <v>20</v>
      </c>
      <c r="E63" s="49">
        <f t="shared" si="16"/>
        <v>10</v>
      </c>
      <c r="F63" s="68"/>
      <c r="G63" s="128"/>
      <c r="H63" s="55">
        <f t="shared" si="17"/>
        <v>42.521260630315155</v>
      </c>
      <c r="I63" s="2" t="str">
        <f t="shared" si="18"/>
        <v>navet</v>
      </c>
      <c r="J63" s="49">
        <f t="shared" si="19"/>
        <v>8.5042521260630313</v>
      </c>
      <c r="O63" s="45"/>
      <c r="P63"/>
      <c r="Q63"/>
    </row>
    <row r="64" spans="1:17">
      <c r="A64" s="439">
        <v>75</v>
      </c>
      <c r="B64" s="2" t="s">
        <v>240</v>
      </c>
      <c r="C64" s="185" t="s">
        <v>676</v>
      </c>
      <c r="D64" s="253">
        <v>19</v>
      </c>
      <c r="E64" s="49">
        <f t="shared" si="16"/>
        <v>14.25</v>
      </c>
      <c r="F64" s="68"/>
      <c r="G64" s="128"/>
      <c r="H64" s="55">
        <f t="shared" si="17"/>
        <v>63.781890945472739</v>
      </c>
      <c r="I64" s="2" t="str">
        <f t="shared" si="18"/>
        <v>tomates</v>
      </c>
      <c r="J64" s="49">
        <f t="shared" si="19"/>
        <v>12.11855927963982</v>
      </c>
      <c r="O64" s="45"/>
      <c r="P64"/>
      <c r="Q64"/>
    </row>
    <row r="65" spans="1:17">
      <c r="A65" s="439">
        <f>25/4</f>
        <v>6.25</v>
      </c>
      <c r="B65" s="2" t="s">
        <v>403</v>
      </c>
      <c r="C65" s="185" t="s">
        <v>676</v>
      </c>
      <c r="D65" s="253">
        <v>22</v>
      </c>
      <c r="E65" s="49">
        <f t="shared" si="16"/>
        <v>1.375</v>
      </c>
      <c r="F65" s="68"/>
      <c r="G65" s="128"/>
      <c r="H65" s="55">
        <f t="shared" si="17"/>
        <v>5.3151575787893952</v>
      </c>
      <c r="I65" s="2" t="str">
        <f t="shared" si="18"/>
        <v>coriandre</v>
      </c>
      <c r="J65" s="49">
        <f t="shared" si="19"/>
        <v>1.1693346673336669</v>
      </c>
      <c r="O65" s="45"/>
      <c r="P65"/>
      <c r="Q65"/>
    </row>
    <row r="66" spans="1:17">
      <c r="A66" s="439">
        <f>15/4</f>
        <v>3.75</v>
      </c>
      <c r="B66" s="2" t="s">
        <v>148</v>
      </c>
      <c r="C66" s="185" t="s">
        <v>676</v>
      </c>
      <c r="D66" s="253">
        <v>28</v>
      </c>
      <c r="E66" s="49">
        <f t="shared" si="12"/>
        <v>1.05</v>
      </c>
      <c r="F66" s="68"/>
      <c r="G66" s="128"/>
      <c r="H66" s="55">
        <f t="shared" si="13"/>
        <v>3.1890945472736365</v>
      </c>
      <c r="I66" s="2" t="str">
        <f t="shared" si="14"/>
        <v>persil</v>
      </c>
      <c r="J66" s="49">
        <f t="shared" si="15"/>
        <v>0.89294647323661824</v>
      </c>
      <c r="O66" s="45"/>
      <c r="P66"/>
      <c r="Q66"/>
    </row>
    <row r="67" spans="1:17">
      <c r="A67" s="439">
        <v>20</v>
      </c>
      <c r="B67" s="2" t="s">
        <v>404</v>
      </c>
      <c r="C67" s="197" t="s">
        <v>674</v>
      </c>
      <c r="D67" s="253">
        <v>298</v>
      </c>
      <c r="E67" s="49">
        <f t="shared" si="12"/>
        <v>59.6</v>
      </c>
      <c r="F67" s="68"/>
      <c r="G67" s="128"/>
      <c r="H67" s="55">
        <f t="shared" si="13"/>
        <v>17.008504252126063</v>
      </c>
      <c r="I67" s="2" t="str">
        <f t="shared" si="14"/>
        <v>raisins secs</v>
      </c>
      <c r="J67" s="49">
        <f t="shared" si="15"/>
        <v>50.685342671335668</v>
      </c>
      <c r="L67" s="154"/>
      <c r="O67" s="45"/>
      <c r="P67"/>
      <c r="Q67"/>
    </row>
    <row r="68" spans="1:17">
      <c r="A68" s="439">
        <v>3</v>
      </c>
      <c r="B68" s="2" t="s">
        <v>108</v>
      </c>
      <c r="C68" s="197" t="s">
        <v>674</v>
      </c>
      <c r="D68" s="253">
        <v>899</v>
      </c>
      <c r="E68" s="49">
        <f t="shared" si="12"/>
        <v>26.97</v>
      </c>
      <c r="F68" s="68"/>
      <c r="G68" s="128"/>
      <c r="H68" s="55">
        <f t="shared" si="13"/>
        <v>2.5512756378189092</v>
      </c>
      <c r="I68" s="2" t="str">
        <f t="shared" si="14"/>
        <v>huile d'olive</v>
      </c>
      <c r="J68" s="49">
        <f t="shared" si="15"/>
        <v>22.935967983991993</v>
      </c>
      <c r="L68" s="154"/>
      <c r="O68" s="45"/>
      <c r="P68"/>
      <c r="Q68"/>
    </row>
    <row r="69" spans="1:17">
      <c r="A69" s="439">
        <v>100</v>
      </c>
      <c r="B69" s="2" t="s">
        <v>268</v>
      </c>
      <c r="C69" s="196" t="s">
        <v>673</v>
      </c>
      <c r="D69" s="253">
        <v>361</v>
      </c>
      <c r="E69" s="49">
        <f t="shared" si="12"/>
        <v>361</v>
      </c>
      <c r="F69" s="68"/>
      <c r="G69" s="128"/>
      <c r="H69" s="55">
        <f t="shared" si="13"/>
        <v>85.042521260630323</v>
      </c>
      <c r="I69" s="2" t="str">
        <f t="shared" si="14"/>
        <v>semoule de couscous</v>
      </c>
      <c r="J69" s="49">
        <f t="shared" si="15"/>
        <v>307.00350175087544</v>
      </c>
      <c r="L69" s="154"/>
      <c r="O69" s="45"/>
      <c r="P69"/>
      <c r="Q69"/>
    </row>
    <row r="70" spans="1:17">
      <c r="A70" s="439">
        <v>100</v>
      </c>
      <c r="B70" s="2" t="s">
        <v>405</v>
      </c>
      <c r="C70" s="281" t="s">
        <v>676</v>
      </c>
      <c r="D70" s="253">
        <v>133</v>
      </c>
      <c r="E70" s="49">
        <f t="shared" si="12"/>
        <v>133</v>
      </c>
      <c r="F70" s="68"/>
      <c r="G70" s="128"/>
      <c r="H70" s="55">
        <f t="shared" si="13"/>
        <v>85.042521260630309</v>
      </c>
      <c r="I70" s="2" t="str">
        <f t="shared" si="14"/>
        <v>pois chiches en boîte</v>
      </c>
      <c r="J70" s="49">
        <f t="shared" si="15"/>
        <v>113.10655327663831</v>
      </c>
      <c r="L70" s="154"/>
      <c r="O70" s="45"/>
      <c r="P70"/>
      <c r="Q70"/>
    </row>
    <row r="71" spans="1:17">
      <c r="A71" s="439">
        <v>1</v>
      </c>
      <c r="B71" s="2" t="s">
        <v>109</v>
      </c>
      <c r="C71" s="197" t="s">
        <v>674</v>
      </c>
      <c r="D71" s="253"/>
      <c r="E71" s="49">
        <f t="shared" si="12"/>
        <v>0</v>
      </c>
      <c r="F71" s="68"/>
      <c r="G71" s="128"/>
      <c r="H71" s="55">
        <f t="shared" si="13"/>
        <v>1</v>
      </c>
      <c r="I71" s="2" t="str">
        <f t="shared" si="14"/>
        <v>sel</v>
      </c>
      <c r="J71" s="49">
        <f t="shared" si="15"/>
        <v>0</v>
      </c>
      <c r="K71" s="275"/>
      <c r="L71" s="154"/>
      <c r="O71" s="45"/>
      <c r="P71"/>
      <c r="Q71"/>
    </row>
    <row r="72" spans="1:17">
      <c r="A72" s="439">
        <v>0.5</v>
      </c>
      <c r="B72" s="107" t="s">
        <v>116</v>
      </c>
      <c r="C72" s="183" t="s">
        <v>675</v>
      </c>
      <c r="D72" s="51">
        <v>222</v>
      </c>
      <c r="E72" s="49">
        <f t="shared" si="12"/>
        <v>1.1100000000000001</v>
      </c>
      <c r="F72" s="68"/>
      <c r="G72" s="128"/>
      <c r="H72" s="55">
        <f t="shared" si="13"/>
        <v>0.4252126063031515</v>
      </c>
      <c r="I72" s="2" t="str">
        <f>B72</f>
        <v>poivre</v>
      </c>
      <c r="J72" s="49">
        <f>E72*$M$18%</f>
        <v>0.94397198599299648</v>
      </c>
      <c r="L72" s="154"/>
      <c r="O72" s="45"/>
      <c r="P72"/>
      <c r="Q72"/>
    </row>
    <row r="73" spans="1:17">
      <c r="A73" s="42"/>
      <c r="B73" s="131"/>
      <c r="C73" s="201"/>
      <c r="E73" s="130" t="s">
        <v>6</v>
      </c>
      <c r="F73" s="138">
        <f>SUM(E53:E72)</f>
        <v>707.63559999999995</v>
      </c>
      <c r="G73" s="140"/>
      <c r="H73" s="42"/>
      <c r="I73" s="131"/>
      <c r="J73" s="130" t="s">
        <v>6</v>
      </c>
      <c r="K73" s="336">
        <f>SUM(J53:J72)</f>
        <v>601.79115557778891</v>
      </c>
      <c r="L73" s="154"/>
      <c r="O73" s="45"/>
      <c r="Q73"/>
    </row>
    <row r="74" spans="1:17">
      <c r="A74" s="66" t="s">
        <v>392</v>
      </c>
      <c r="B74" s="257"/>
      <c r="C74" s="257"/>
      <c r="D74" s="257"/>
      <c r="E74" s="257"/>
      <c r="F74" s="259"/>
      <c r="G74" s="260"/>
      <c r="H74" s="257"/>
      <c r="I74" s="257"/>
      <c r="J74" s="258"/>
      <c r="O74" s="45"/>
      <c r="Q74"/>
    </row>
    <row r="75" spans="1:17">
      <c r="A75" s="439">
        <v>50</v>
      </c>
      <c r="B75" s="2" t="s">
        <v>406</v>
      </c>
      <c r="C75" s="199" t="s">
        <v>675</v>
      </c>
      <c r="D75" s="253">
        <v>53</v>
      </c>
      <c r="E75" s="49">
        <f t="shared" ref="E75:E79" si="20">D75/100*A75</f>
        <v>26.5</v>
      </c>
      <c r="F75" s="68"/>
      <c r="G75" s="128"/>
      <c r="H75" s="55">
        <f>IF(E75=0,A75,A75/E75*J75)</f>
        <v>42.521260630315155</v>
      </c>
      <c r="I75" s="2" t="str">
        <f>B75</f>
        <v>poires</v>
      </c>
      <c r="J75" s="49">
        <f t="shared" si="15"/>
        <v>22.536268134067033</v>
      </c>
      <c r="K75" s="241"/>
      <c r="O75" s="45"/>
      <c r="P75"/>
      <c r="Q75"/>
    </row>
    <row r="76" spans="1:17">
      <c r="A76" s="439">
        <f>250/4</f>
        <v>62.5</v>
      </c>
      <c r="B76" s="2" t="s">
        <v>407</v>
      </c>
      <c r="C76" s="281" t="s">
        <v>676</v>
      </c>
      <c r="D76" s="253">
        <v>46</v>
      </c>
      <c r="E76" s="49">
        <f t="shared" si="20"/>
        <v>28.75</v>
      </c>
      <c r="F76" s="68"/>
      <c r="G76" s="128"/>
      <c r="H76" s="55">
        <f t="shared" ref="H76:H79" si="21">IF(E76=0,A76,A76/E76*J76)</f>
        <v>53.15157578789394</v>
      </c>
      <c r="I76" s="2" t="str">
        <f t="shared" ref="I76:I79" si="22">B76</f>
        <v xml:space="preserve">yougourt nature </v>
      </c>
      <c r="J76" s="49">
        <f t="shared" si="15"/>
        <v>24.449724862431214</v>
      </c>
      <c r="K76" s="241"/>
      <c r="O76" s="45"/>
      <c r="P76"/>
      <c r="Q76"/>
    </row>
    <row r="77" spans="1:17">
      <c r="A77" s="439">
        <v>9</v>
      </c>
      <c r="B77" s="2" t="s">
        <v>2</v>
      </c>
      <c r="C77" s="197" t="s">
        <v>674</v>
      </c>
      <c r="D77" s="253">
        <v>400</v>
      </c>
      <c r="E77" s="49">
        <f t="shared" si="20"/>
        <v>36</v>
      </c>
      <c r="F77" s="68"/>
      <c r="G77" s="128"/>
      <c r="H77" s="55">
        <f t="shared" si="21"/>
        <v>7.6538269134567276</v>
      </c>
      <c r="I77" s="2" t="str">
        <f t="shared" si="22"/>
        <v>sucre</v>
      </c>
      <c r="J77" s="49">
        <f t="shared" si="15"/>
        <v>30.61530765382691</v>
      </c>
      <c r="K77" s="241"/>
      <c r="O77" s="45"/>
      <c r="P77"/>
      <c r="Q77"/>
    </row>
    <row r="78" spans="1:17">
      <c r="A78" s="439">
        <v>3</v>
      </c>
      <c r="B78" s="2" t="s">
        <v>390</v>
      </c>
      <c r="C78" s="197" t="s">
        <v>674</v>
      </c>
      <c r="D78" s="253">
        <v>747</v>
      </c>
      <c r="E78" s="49">
        <f t="shared" si="20"/>
        <v>22.41</v>
      </c>
      <c r="F78" s="68"/>
      <c r="G78" s="128"/>
      <c r="H78" s="55">
        <f t="shared" si="21"/>
        <v>2.5512756378189092</v>
      </c>
      <c r="I78" s="2" t="str">
        <f t="shared" si="22"/>
        <v xml:space="preserve">beurre </v>
      </c>
      <c r="J78" s="49">
        <f t="shared" si="15"/>
        <v>19.058029014507252</v>
      </c>
      <c r="K78" s="241"/>
      <c r="O78" s="45"/>
      <c r="P78"/>
      <c r="Q78"/>
    </row>
    <row r="79" spans="1:17">
      <c r="A79" s="439">
        <v>2.5</v>
      </c>
      <c r="B79" s="2" t="s">
        <v>408</v>
      </c>
      <c r="C79" s="281" t="s">
        <v>676</v>
      </c>
      <c r="D79" s="253">
        <v>49</v>
      </c>
      <c r="E79" s="49">
        <f t="shared" si="20"/>
        <v>1.2250000000000001</v>
      </c>
      <c r="F79" s="68"/>
      <c r="G79" s="128"/>
      <c r="H79" s="55">
        <f t="shared" si="21"/>
        <v>2.1260630315157583</v>
      </c>
      <c r="I79" s="2" t="str">
        <f t="shared" si="22"/>
        <v>menthe fraîche</v>
      </c>
      <c r="J79" s="49">
        <f t="shared" si="15"/>
        <v>1.0417708854427215</v>
      </c>
      <c r="K79" s="241"/>
      <c r="O79" s="45"/>
      <c r="P79"/>
      <c r="Q79"/>
    </row>
    <row r="80" spans="1:17">
      <c r="A80" s="42"/>
      <c r="B80" s="131"/>
      <c r="C80" s="201"/>
      <c r="E80" s="143" t="s">
        <v>6</v>
      </c>
      <c r="F80" s="135">
        <f>SUM(E75:E79)</f>
        <v>114.88499999999999</v>
      </c>
      <c r="G80" s="25"/>
      <c r="H80" s="42"/>
      <c r="I80" s="131"/>
      <c r="J80" s="143" t="s">
        <v>6</v>
      </c>
      <c r="K80" s="336">
        <f>SUM(J75:J79)</f>
        <v>97.701100550275129</v>
      </c>
      <c r="O80" s="45"/>
      <c r="Q80"/>
    </row>
    <row r="81" spans="1:17">
      <c r="A81" s="54">
        <f>IF(D5="non",0,IF(D5="1 verre",125,250))</f>
        <v>0</v>
      </c>
      <c r="B81" s="2" t="str">
        <f>IF(A81=0,"","vin")</f>
        <v/>
      </c>
      <c r="C81" s="203"/>
      <c r="D81" s="51">
        <v>80</v>
      </c>
      <c r="E81" s="49">
        <f>D81/100*A81</f>
        <v>0</v>
      </c>
      <c r="G81" s="142"/>
      <c r="H81" s="55">
        <f>IF(E81=0,A81,A81/E81*J81)</f>
        <v>0</v>
      </c>
      <c r="I81" s="2" t="str">
        <f>B81</f>
        <v/>
      </c>
      <c r="J81" s="49">
        <f t="shared" si="15"/>
        <v>0</v>
      </c>
      <c r="K81" s="335"/>
      <c r="O81" s="45"/>
      <c r="P81"/>
      <c r="Q81"/>
    </row>
    <row r="82" spans="1:17" ht="6" customHeight="1">
      <c r="A82" s="17"/>
      <c r="B82" s="17"/>
      <c r="C82" s="188"/>
      <c r="D82" s="68"/>
      <c r="E82" s="17"/>
      <c r="F82" s="18"/>
      <c r="G82" s="204"/>
      <c r="H82" s="17"/>
      <c r="I82" s="17"/>
      <c r="J82" s="17"/>
      <c r="K82" s="335"/>
      <c r="P82"/>
      <c r="Q82"/>
    </row>
    <row r="83" spans="1:17">
      <c r="A83" s="17"/>
      <c r="B83" s="17"/>
      <c r="C83" s="188"/>
      <c r="D83" s="69" t="s">
        <v>129</v>
      </c>
      <c r="F83" s="138">
        <f>SUM(F22:F81)</f>
        <v>1998.9105999999999</v>
      </c>
      <c r="G83" s="204"/>
      <c r="H83" s="17"/>
      <c r="I83" s="69" t="s">
        <v>129</v>
      </c>
      <c r="K83" s="336">
        <f>SUM(K22:K80)</f>
        <v>1699.9239719859931</v>
      </c>
      <c r="P83"/>
      <c r="Q83"/>
    </row>
    <row r="84" spans="1:17">
      <c r="A84" s="17"/>
      <c r="B84" s="17"/>
      <c r="C84" s="188"/>
      <c r="D84" s="18" t="s">
        <v>130</v>
      </c>
      <c r="E84" s="25"/>
      <c r="F84" s="144">
        <f>F83+E81</f>
        <v>1998.9105999999999</v>
      </c>
      <c r="G84" s="43"/>
      <c r="H84" s="42"/>
      <c r="I84" s="18" t="s">
        <v>130</v>
      </c>
      <c r="J84" s="25"/>
      <c r="K84" s="336">
        <f>K83+J81</f>
        <v>1699.9239719859931</v>
      </c>
      <c r="P84"/>
      <c r="Q84"/>
    </row>
    <row r="85" spans="1:17">
      <c r="A85" s="17"/>
      <c r="B85" s="16"/>
      <c r="C85" s="188"/>
      <c r="D85" s="17"/>
      <c r="E85" s="17"/>
      <c r="F85" s="205"/>
      <c r="G85" s="43"/>
      <c r="H85" s="17"/>
      <c r="I85" s="17"/>
      <c r="J85" s="17"/>
      <c r="P85"/>
      <c r="Q85"/>
    </row>
    <row r="86" spans="1:17" ht="19">
      <c r="A86" s="118" t="s">
        <v>100</v>
      </c>
      <c r="B86" s="491" t="s">
        <v>99</v>
      </c>
      <c r="C86" s="491"/>
      <c r="D86" s="17"/>
      <c r="E86" s="17"/>
      <c r="F86" s="18"/>
      <c r="G86" s="18"/>
      <c r="H86" s="17"/>
      <c r="I86" s="17"/>
      <c r="J86" s="17"/>
      <c r="P86"/>
      <c r="Q86"/>
    </row>
    <row r="87" spans="1:17" ht="409" customHeight="1">
      <c r="A87" s="17"/>
      <c r="B87" s="16"/>
      <c r="C87" s="228"/>
      <c r="D87" s="17"/>
      <c r="E87" s="17"/>
      <c r="F87" s="18"/>
      <c r="G87" s="18"/>
      <c r="H87" s="17"/>
      <c r="I87" s="17"/>
      <c r="J87" s="17"/>
      <c r="K87" s="18"/>
      <c r="P87"/>
      <c r="Q87"/>
    </row>
    <row r="88" spans="1:17">
      <c r="A88" s="17"/>
      <c r="B88" s="16"/>
      <c r="C88" s="188"/>
      <c r="D88" s="17"/>
      <c r="E88" s="17"/>
      <c r="F88" s="18"/>
      <c r="G88" s="18"/>
      <c r="H88" s="17"/>
      <c r="I88" s="17"/>
      <c r="J88" s="17"/>
      <c r="P88"/>
      <c r="Q88"/>
    </row>
    <row r="89" spans="1:17">
      <c r="A89" s="17"/>
      <c r="B89" s="16"/>
      <c r="C89" s="188"/>
      <c r="D89" s="17"/>
      <c r="E89" s="17"/>
      <c r="F89" s="18"/>
      <c r="G89" s="18"/>
      <c r="H89" s="17"/>
      <c r="I89" s="17"/>
      <c r="J89" s="17"/>
      <c r="P89"/>
      <c r="Q89"/>
    </row>
    <row r="90" spans="1:17">
      <c r="F90" s="18"/>
      <c r="G90" s="18"/>
      <c r="O90"/>
      <c r="P90"/>
      <c r="Q90"/>
    </row>
    <row r="91" spans="1:17">
      <c r="F91" s="206"/>
      <c r="O91"/>
      <c r="P91"/>
      <c r="Q91"/>
    </row>
    <row r="92" spans="1:17">
      <c r="B92"/>
      <c r="C92"/>
      <c r="O92"/>
      <c r="P92"/>
      <c r="Q92"/>
    </row>
    <row r="93" spans="1:17">
      <c r="B93"/>
      <c r="C93"/>
      <c r="O93"/>
      <c r="P93"/>
      <c r="Q93"/>
    </row>
    <row r="94" spans="1:17">
      <c r="B94"/>
      <c r="C94"/>
      <c r="O94"/>
      <c r="P94"/>
      <c r="Q94"/>
    </row>
    <row r="95" spans="1:17">
      <c r="B95"/>
      <c r="C95"/>
      <c r="O95"/>
      <c r="P95"/>
      <c r="Q95"/>
    </row>
    <row r="96" spans="1:17">
      <c r="B96"/>
      <c r="C96"/>
      <c r="O96"/>
      <c r="P96"/>
      <c r="Q96"/>
    </row>
    <row r="97" spans="2:17">
      <c r="B97"/>
      <c r="C97"/>
      <c r="O97"/>
      <c r="P97"/>
      <c r="Q97"/>
    </row>
    <row r="98" spans="2:17">
      <c r="B98"/>
      <c r="C98"/>
      <c r="O98"/>
      <c r="P98"/>
      <c r="Q98"/>
    </row>
    <row r="99" spans="2:17">
      <c r="B99"/>
      <c r="C99"/>
      <c r="O99"/>
      <c r="P99"/>
      <c r="Q99"/>
    </row>
    <row r="100" spans="2:17">
      <c r="B100"/>
      <c r="C100"/>
      <c r="O100"/>
      <c r="P100"/>
      <c r="Q100"/>
    </row>
    <row r="101" spans="2:17">
      <c r="B101"/>
      <c r="C101"/>
      <c r="O101"/>
      <c r="P101"/>
      <c r="Q101"/>
    </row>
    <row r="102" spans="2:17">
      <c r="B102"/>
      <c r="C102"/>
      <c r="O102"/>
      <c r="P102"/>
      <c r="Q102"/>
    </row>
    <row r="103" spans="2:17">
      <c r="B103"/>
      <c r="C103"/>
      <c r="O103"/>
      <c r="P103"/>
      <c r="Q103"/>
    </row>
    <row r="104" spans="2:17">
      <c r="B104"/>
      <c r="C104"/>
      <c r="O104"/>
      <c r="P104"/>
      <c r="Q104"/>
    </row>
    <row r="105" spans="2:17">
      <c r="B105"/>
      <c r="C105"/>
      <c r="O105"/>
      <c r="P105"/>
      <c r="Q105"/>
    </row>
    <row r="106" spans="2:17">
      <c r="B106"/>
      <c r="C106"/>
      <c r="F106"/>
      <c r="G106"/>
      <c r="K106" s="235"/>
      <c r="O106"/>
      <c r="P106"/>
      <c r="Q106"/>
    </row>
    <row r="107" spans="2:17">
      <c r="B107"/>
      <c r="C107"/>
      <c r="F107"/>
      <c r="G107"/>
      <c r="K107" s="235"/>
      <c r="O107"/>
      <c r="P107"/>
      <c r="Q107"/>
    </row>
    <row r="108" spans="2:17">
      <c r="B108"/>
      <c r="C108"/>
      <c r="F108"/>
      <c r="G108"/>
      <c r="K108" s="235"/>
      <c r="O108"/>
      <c r="P108"/>
      <c r="Q108"/>
    </row>
    <row r="109" spans="2:17">
      <c r="B109"/>
      <c r="C109"/>
      <c r="F109"/>
      <c r="G109"/>
      <c r="K109" s="235"/>
      <c r="O109"/>
      <c r="P109"/>
      <c r="Q109"/>
    </row>
    <row r="110" spans="2:17">
      <c r="B110"/>
      <c r="C110"/>
      <c r="F110"/>
      <c r="G110"/>
      <c r="K110" s="235"/>
      <c r="O110"/>
      <c r="P110"/>
      <c r="Q110"/>
    </row>
  </sheetData>
  <sheetProtection password="A5F4" sheet="1" objects="1" scenarios="1" selectLockedCells="1"/>
  <mergeCells count="8">
    <mergeCell ref="B86:C86"/>
    <mergeCell ref="D8:J8"/>
    <mergeCell ref="B15:J15"/>
    <mergeCell ref="A18:A19"/>
    <mergeCell ref="B18:B19"/>
    <mergeCell ref="D18:E18"/>
    <mergeCell ref="H18:H19"/>
    <mergeCell ref="I18:I19"/>
  </mergeCells>
  <dataValidations xWindow="523" yWindow="423" count="1">
    <dataValidation allowBlank="1" showErrorMessage="1" promptTitle="Modification des quantités" prompt="Vous pouvez diminuer ou augmenter la quantité,._x000d_Si vous désirez supprimer l'aliment, inscrivez 0 (zéro)." sqref="A48:A49"/>
  </dataValidations>
  <hyperlinks>
    <hyperlink ref="B86" location="sommaire!A1" display="RETOUR AU SOMMAIRE"/>
    <hyperlink ref="C86" location="sommaire!A1" display="sommaire!A1"/>
  </hyperlink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xWindow="523" yWindow="423"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1"/>
  <sheetViews>
    <sheetView workbookViewId="0">
      <selection activeCell="D5" sqref="D5"/>
    </sheetView>
  </sheetViews>
  <sheetFormatPr baseColWidth="10" defaultRowHeight="15" x14ac:dyDescent="0"/>
  <cols>
    <col min="1" max="1" width="6.33203125" customWidth="1"/>
    <col min="2" max="2" width="26"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81.5" style="242" customWidth="1"/>
    <col min="13" max="13" width="6.6640625" style="407" customWidth="1"/>
    <col min="14" max="14" width="3.33203125" style="44" customWidth="1"/>
    <col min="15" max="17" width="10.83203125" style="44"/>
  </cols>
  <sheetData>
    <row r="1" spans="1:17" ht="19">
      <c r="A1" s="207" t="s">
        <v>744</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ROUND(F74,0)</f>
        <v>1991</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291</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D3+E72-D11</f>
        <v>291</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01"/>
      <c r="D18" s="481" t="s">
        <v>7</v>
      </c>
      <c r="E18" s="482"/>
      <c r="F18" s="18"/>
      <c r="G18" s="43"/>
      <c r="H18" s="487" t="str">
        <f>A18</f>
        <v>g/cl</v>
      </c>
      <c r="I18" s="489" t="str">
        <f>B18</f>
        <v>Ingrédients</v>
      </c>
      <c r="J18" s="70" t="s">
        <v>7</v>
      </c>
      <c r="M18" s="411">
        <f>100-(D12/((D11+D12)/100))</f>
        <v>85.384229030637869</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244</v>
      </c>
      <c r="B21" s="16"/>
      <c r="C21" s="209"/>
      <c r="D21" s="17"/>
      <c r="E21" s="17"/>
      <c r="F21" s="18"/>
      <c r="G21" s="43"/>
      <c r="H21" s="17"/>
      <c r="I21" s="17"/>
      <c r="J21" s="17"/>
      <c r="L21" s="154"/>
      <c r="P21"/>
      <c r="Q21"/>
    </row>
    <row r="22" spans="1:17">
      <c r="A22" s="438">
        <v>50</v>
      </c>
      <c r="B22" s="107" t="s">
        <v>160</v>
      </c>
      <c r="C22" s="196" t="s">
        <v>673</v>
      </c>
      <c r="D22" s="164">
        <v>382</v>
      </c>
      <c r="E22" s="49">
        <f t="shared" ref="E22:E27" si="0">D22/100*A22</f>
        <v>191</v>
      </c>
      <c r="F22" s="18"/>
      <c r="G22" s="43"/>
      <c r="H22" s="55">
        <f t="shared" ref="H22:H27" si="1">IF(E22=0,A22,A22/E22*J22)</f>
        <v>42.692114515318934</v>
      </c>
      <c r="I22" s="2" t="str">
        <f t="shared" ref="I22:I27" si="2">B22</f>
        <v>céréales au miel</v>
      </c>
      <c r="J22" s="49">
        <f t="shared" ref="J22:J27" si="3">E22*$M$18%</f>
        <v>163.08387744851834</v>
      </c>
      <c r="O22" s="45"/>
      <c r="Q22"/>
    </row>
    <row r="23" spans="1:17">
      <c r="A23" s="438">
        <v>150</v>
      </c>
      <c r="B23" s="2" t="s">
        <v>1</v>
      </c>
      <c r="C23" s="218"/>
      <c r="D23" s="51">
        <v>0</v>
      </c>
      <c r="E23" s="49">
        <f t="shared" si="0"/>
        <v>0</v>
      </c>
      <c r="F23" s="18"/>
      <c r="G23" s="43"/>
      <c r="H23" s="55">
        <f t="shared" si="1"/>
        <v>150</v>
      </c>
      <c r="I23" s="2" t="str">
        <f t="shared" si="2"/>
        <v>café</v>
      </c>
      <c r="J23" s="49">
        <f t="shared" si="3"/>
        <v>0</v>
      </c>
      <c r="O23" s="45"/>
      <c r="Q23"/>
    </row>
    <row r="24" spans="1:17">
      <c r="A24" s="438">
        <v>4</v>
      </c>
      <c r="B24" s="2" t="s">
        <v>2</v>
      </c>
      <c r="C24" s="186" t="s">
        <v>674</v>
      </c>
      <c r="D24" s="51">
        <v>400</v>
      </c>
      <c r="E24" s="49">
        <f t="shared" si="0"/>
        <v>16</v>
      </c>
      <c r="F24" s="18"/>
      <c r="G24" s="43"/>
      <c r="H24" s="55">
        <f t="shared" si="1"/>
        <v>3.4153691612255148</v>
      </c>
      <c r="I24" s="2" t="str">
        <f t="shared" si="2"/>
        <v>sucre</v>
      </c>
      <c r="J24" s="49">
        <f t="shared" si="3"/>
        <v>13.661476644902059</v>
      </c>
      <c r="O24" s="45"/>
      <c r="Q24"/>
    </row>
    <row r="25" spans="1:17">
      <c r="A25" s="438">
        <v>12</v>
      </c>
      <c r="B25" s="2" t="s">
        <v>5</v>
      </c>
      <c r="C25" s="196" t="s">
        <v>673</v>
      </c>
      <c r="D25" s="51">
        <v>161</v>
      </c>
      <c r="E25" s="49">
        <f t="shared" si="0"/>
        <v>19.32</v>
      </c>
      <c r="F25" s="18"/>
      <c r="G25" s="43"/>
      <c r="H25" s="55">
        <f t="shared" si="1"/>
        <v>10.246107483676544</v>
      </c>
      <c r="I25" s="2" t="str">
        <f t="shared" si="2"/>
        <v>crème à café</v>
      </c>
      <c r="J25" s="49">
        <f t="shared" si="3"/>
        <v>16.496233048719237</v>
      </c>
      <c r="O25" s="45"/>
      <c r="Q25"/>
    </row>
    <row r="26" spans="1:17">
      <c r="A26" s="438">
        <v>125</v>
      </c>
      <c r="B26" s="2" t="s">
        <v>123</v>
      </c>
      <c r="C26" s="183" t="s">
        <v>675</v>
      </c>
      <c r="D26" s="51">
        <v>87</v>
      </c>
      <c r="E26" s="49">
        <f t="shared" si="0"/>
        <v>108.75</v>
      </c>
      <c r="F26" s="18"/>
      <c r="G26" s="43"/>
      <c r="H26" s="55">
        <f t="shared" si="1"/>
        <v>106.73028628829734</v>
      </c>
      <c r="I26" s="2" t="str">
        <f t="shared" si="2"/>
        <v>yogourt aux fruits</v>
      </c>
      <c r="J26" s="49">
        <f t="shared" si="3"/>
        <v>92.85534907081869</v>
      </c>
      <c r="O26" s="45"/>
      <c r="Q26"/>
    </row>
    <row r="27" spans="1:17">
      <c r="A27" s="438">
        <v>150</v>
      </c>
      <c r="B27" s="2" t="s">
        <v>103</v>
      </c>
      <c r="C27" s="183" t="s">
        <v>675</v>
      </c>
      <c r="D27" s="51">
        <v>45</v>
      </c>
      <c r="E27" s="49">
        <f t="shared" si="0"/>
        <v>67.5</v>
      </c>
      <c r="F27" s="68"/>
      <c r="G27" s="128"/>
      <c r="H27" s="55">
        <f t="shared" si="1"/>
        <v>128.0763435459568</v>
      </c>
      <c r="I27" s="2" t="str">
        <f t="shared" si="2"/>
        <v>jus d'orange maison</v>
      </c>
      <c r="J27" s="49">
        <f t="shared" si="3"/>
        <v>57.634354595680563</v>
      </c>
      <c r="K27" s="275"/>
      <c r="O27" s="45"/>
      <c r="Q27"/>
    </row>
    <row r="28" spans="1:17">
      <c r="A28" s="42"/>
      <c r="B28" s="131"/>
      <c r="C28" s="200"/>
      <c r="E28" s="130" t="s">
        <v>6</v>
      </c>
      <c r="F28" s="135">
        <f>SUM(E22:E27)</f>
        <v>402.57</v>
      </c>
      <c r="G28" s="128"/>
      <c r="H28" s="42"/>
      <c r="I28" s="131"/>
      <c r="J28" s="130" t="s">
        <v>6</v>
      </c>
      <c r="K28" s="336">
        <f>SUM(J22:J27)</f>
        <v>343.7312908086389</v>
      </c>
      <c r="O28" s="45"/>
      <c r="Q28"/>
    </row>
    <row r="29" spans="1:17">
      <c r="A29" s="216" t="s">
        <v>225</v>
      </c>
      <c r="B29" s="16"/>
      <c r="C29" s="209"/>
      <c r="D29" s="17"/>
      <c r="E29" s="17"/>
      <c r="F29" s="18"/>
      <c r="G29" s="43"/>
      <c r="H29" s="17"/>
      <c r="I29" s="17"/>
      <c r="J29" s="17"/>
      <c r="P29"/>
      <c r="Q29"/>
    </row>
    <row r="30" spans="1:17">
      <c r="A30" s="66" t="s">
        <v>413</v>
      </c>
      <c r="B30" s="257"/>
      <c r="C30" s="257"/>
      <c r="D30" s="257"/>
      <c r="E30" s="257"/>
      <c r="F30" s="257"/>
      <c r="G30" s="257"/>
      <c r="H30" s="257"/>
      <c r="I30" s="257"/>
      <c r="J30" s="258"/>
      <c r="L30" s="154"/>
      <c r="O30" s="45"/>
      <c r="Q30"/>
    </row>
    <row r="31" spans="1:17">
      <c r="A31" s="439">
        <v>30</v>
      </c>
      <c r="B31" s="107" t="s">
        <v>415</v>
      </c>
      <c r="C31" s="273" t="s">
        <v>676</v>
      </c>
      <c r="D31" s="253">
        <v>27</v>
      </c>
      <c r="E31" s="254">
        <f t="shared" ref="E31:E41" si="4">D31/100*A31</f>
        <v>8.1000000000000014</v>
      </c>
      <c r="F31" s="18"/>
      <c r="G31" s="43"/>
      <c r="H31" s="255">
        <f t="shared" ref="H31:H41" si="5">IF(E31=0,A31,A31/E31*J31)</f>
        <v>25.615268709191358</v>
      </c>
      <c r="I31" s="251" t="str">
        <f t="shared" ref="I31:I41" si="6">B31</f>
        <v xml:space="preserve">asperges </v>
      </c>
      <c r="J31" s="254">
        <f t="shared" ref="J31:J41" si="7">E31*$M$18%</f>
        <v>6.9161225514816689</v>
      </c>
      <c r="L31" s="154"/>
      <c r="O31" s="45"/>
      <c r="Q31"/>
    </row>
    <row r="32" spans="1:17">
      <c r="A32" s="439">
        <v>25</v>
      </c>
      <c r="B32" s="107" t="s">
        <v>416</v>
      </c>
      <c r="C32" s="273" t="s">
        <v>676</v>
      </c>
      <c r="D32" s="253">
        <v>30</v>
      </c>
      <c r="E32" s="49">
        <f t="shared" si="4"/>
        <v>7.5</v>
      </c>
      <c r="F32" s="68"/>
      <c r="G32" s="128"/>
      <c r="H32" s="55">
        <f t="shared" si="5"/>
        <v>21.346057257659471</v>
      </c>
      <c r="I32" s="2" t="str">
        <f t="shared" si="6"/>
        <v>poireaux</v>
      </c>
      <c r="J32" s="49">
        <f t="shared" si="7"/>
        <v>6.4038171772978405</v>
      </c>
      <c r="O32" s="45"/>
      <c r="Q32"/>
    </row>
    <row r="33" spans="1:17">
      <c r="A33" s="439">
        <v>25</v>
      </c>
      <c r="B33" s="107" t="s">
        <v>141</v>
      </c>
      <c r="C33" s="273" t="s">
        <v>676</v>
      </c>
      <c r="D33" s="253">
        <v>30</v>
      </c>
      <c r="E33" s="49">
        <f t="shared" si="4"/>
        <v>7.5</v>
      </c>
      <c r="F33" s="68"/>
      <c r="G33" s="128"/>
      <c r="H33" s="55">
        <f t="shared" si="5"/>
        <v>21.346057257659471</v>
      </c>
      <c r="I33" s="2" t="str">
        <f t="shared" si="6"/>
        <v>carottes</v>
      </c>
      <c r="J33" s="49">
        <f t="shared" si="7"/>
        <v>6.4038171772978405</v>
      </c>
      <c r="O33" s="45"/>
      <c r="Q33"/>
    </row>
    <row r="34" spans="1:17">
      <c r="A34" s="439">
        <v>25</v>
      </c>
      <c r="B34" s="107" t="s">
        <v>140</v>
      </c>
      <c r="C34" s="273" t="s">
        <v>676</v>
      </c>
      <c r="D34" s="253">
        <v>19</v>
      </c>
      <c r="E34" s="49">
        <f t="shared" si="4"/>
        <v>4.75</v>
      </c>
      <c r="F34" s="68"/>
      <c r="G34" s="128"/>
      <c r="H34" s="55">
        <f t="shared" si="5"/>
        <v>21.346057257659467</v>
      </c>
      <c r="I34" s="2" t="str">
        <f t="shared" si="6"/>
        <v>courgette</v>
      </c>
      <c r="J34" s="49">
        <f t="shared" si="7"/>
        <v>4.0557508789552985</v>
      </c>
      <c r="O34" s="45"/>
      <c r="Q34"/>
    </row>
    <row r="35" spans="1:17">
      <c r="A35" s="439">
        <v>62.5</v>
      </c>
      <c r="B35" s="2" t="s">
        <v>288</v>
      </c>
      <c r="C35" s="197" t="s">
        <v>674</v>
      </c>
      <c r="D35" s="253">
        <v>384</v>
      </c>
      <c r="E35" s="49">
        <f t="shared" si="4"/>
        <v>240</v>
      </c>
      <c r="F35" s="68"/>
      <c r="G35" s="128"/>
      <c r="H35" s="55">
        <f t="shared" si="5"/>
        <v>53.365143144148675</v>
      </c>
      <c r="I35" s="2" t="str">
        <f t="shared" si="6"/>
        <v>pâte feuilletée abaissée</v>
      </c>
      <c r="J35" s="49">
        <f t="shared" si="7"/>
        <v>204.9221496735309</v>
      </c>
      <c r="O35" s="45"/>
      <c r="Q35"/>
    </row>
    <row r="36" spans="1:17">
      <c r="A36" s="439">
        <v>30</v>
      </c>
      <c r="B36" s="107" t="s">
        <v>181</v>
      </c>
      <c r="C36" s="273" t="s">
        <v>676</v>
      </c>
      <c r="D36" s="253">
        <v>146</v>
      </c>
      <c r="E36" s="49">
        <f t="shared" si="4"/>
        <v>43.8</v>
      </c>
      <c r="F36" s="68"/>
      <c r="G36" s="128"/>
      <c r="H36" s="55">
        <f t="shared" si="5"/>
        <v>25.615268709191362</v>
      </c>
      <c r="I36" s="2" t="str">
        <f t="shared" si="6"/>
        <v>œufs</v>
      </c>
      <c r="J36" s="49">
        <f t="shared" si="7"/>
        <v>37.398292315419383</v>
      </c>
      <c r="O36" s="45"/>
      <c r="Q36"/>
    </row>
    <row r="37" spans="1:17">
      <c r="A37" s="439">
        <v>50</v>
      </c>
      <c r="B37" s="107" t="s">
        <v>417</v>
      </c>
      <c r="C37" s="197" t="s">
        <v>674</v>
      </c>
      <c r="D37" s="253">
        <v>252</v>
      </c>
      <c r="E37" s="49">
        <f t="shared" si="4"/>
        <v>126</v>
      </c>
      <c r="F37" s="68"/>
      <c r="G37" s="128"/>
      <c r="H37" s="55">
        <f t="shared" si="5"/>
        <v>42.692114515318927</v>
      </c>
      <c r="I37" s="2" t="str">
        <f t="shared" si="6"/>
        <v xml:space="preserve">crème </v>
      </c>
      <c r="J37" s="49">
        <f t="shared" si="7"/>
        <v>107.58412857860371</v>
      </c>
      <c r="O37" s="45"/>
      <c r="Q37"/>
    </row>
    <row r="38" spans="1:17">
      <c r="A38" s="439">
        <f>150/4</f>
        <v>37.5</v>
      </c>
      <c r="B38" s="107" t="s">
        <v>418</v>
      </c>
      <c r="C38" s="249" t="s">
        <v>677</v>
      </c>
      <c r="D38" s="253">
        <v>396</v>
      </c>
      <c r="E38" s="49">
        <f t="shared" si="4"/>
        <v>148.5</v>
      </c>
      <c r="F38" s="68"/>
      <c r="G38" s="128"/>
      <c r="H38" s="55">
        <f t="shared" si="5"/>
        <v>32.019085886489208</v>
      </c>
      <c r="I38" s="2" t="str">
        <f t="shared" si="6"/>
        <v xml:space="preserve">fromage râpé </v>
      </c>
      <c r="J38" s="49">
        <f t="shared" si="7"/>
        <v>126.79558011049724</v>
      </c>
      <c r="O38" s="45"/>
      <c r="Q38"/>
    </row>
    <row r="39" spans="1:17">
      <c r="A39" s="439">
        <v>50</v>
      </c>
      <c r="B39" s="107" t="s">
        <v>412</v>
      </c>
      <c r="C39" s="249" t="s">
        <v>677</v>
      </c>
      <c r="D39" s="253">
        <v>229</v>
      </c>
      <c r="E39" s="49">
        <f t="shared" si="4"/>
        <v>114.5</v>
      </c>
      <c r="F39" s="68"/>
      <c r="G39" s="128"/>
      <c r="H39" s="55">
        <f t="shared" si="5"/>
        <v>42.692114515318934</v>
      </c>
      <c r="I39" s="2" t="str">
        <f t="shared" si="6"/>
        <v xml:space="preserve">jambon cru </v>
      </c>
      <c r="J39" s="49">
        <f t="shared" si="7"/>
        <v>97.764942240080359</v>
      </c>
      <c r="O39" s="45"/>
      <c r="Q39"/>
    </row>
    <row r="40" spans="1:17">
      <c r="A40" s="439">
        <v>1</v>
      </c>
      <c r="B40" s="107" t="s">
        <v>109</v>
      </c>
      <c r="C40" s="197" t="s">
        <v>674</v>
      </c>
      <c r="D40" s="253">
        <v>0</v>
      </c>
      <c r="E40" s="49">
        <f t="shared" si="4"/>
        <v>0</v>
      </c>
      <c r="F40" s="68"/>
      <c r="G40" s="128"/>
      <c r="H40" s="55">
        <f t="shared" si="5"/>
        <v>1</v>
      </c>
      <c r="I40" s="2" t="str">
        <f t="shared" si="6"/>
        <v>sel</v>
      </c>
      <c r="J40" s="49">
        <f t="shared" si="7"/>
        <v>0</v>
      </c>
      <c r="O40" s="45"/>
      <c r="Q40"/>
    </row>
    <row r="41" spans="1:17">
      <c r="A41" s="439">
        <v>0.5</v>
      </c>
      <c r="B41" s="2" t="s">
        <v>116</v>
      </c>
      <c r="C41" s="199" t="s">
        <v>675</v>
      </c>
      <c r="D41" s="51">
        <v>222</v>
      </c>
      <c r="E41" s="49">
        <f t="shared" si="4"/>
        <v>1.1100000000000001</v>
      </c>
      <c r="F41" s="68"/>
      <c r="G41" s="128"/>
      <c r="H41" s="55">
        <f t="shared" si="5"/>
        <v>0.42692114515318935</v>
      </c>
      <c r="I41" s="2" t="str">
        <f t="shared" si="6"/>
        <v>poivre</v>
      </c>
      <c r="J41" s="49">
        <f t="shared" si="7"/>
        <v>0.94776494224008045</v>
      </c>
      <c r="O41" s="45"/>
      <c r="P41"/>
      <c r="Q41"/>
    </row>
    <row r="42" spans="1:17">
      <c r="A42" s="66" t="s">
        <v>127</v>
      </c>
      <c r="B42" s="63"/>
      <c r="C42" s="202"/>
      <c r="D42" s="63"/>
      <c r="E42" s="64"/>
      <c r="F42" s="18"/>
      <c r="G42" s="43"/>
      <c r="H42" s="65"/>
      <c r="I42" s="63"/>
      <c r="J42" s="67"/>
      <c r="O42" s="45"/>
      <c r="Q42"/>
    </row>
    <row r="43" spans="1:17">
      <c r="A43" s="439">
        <v>150</v>
      </c>
      <c r="B43" s="2" t="s">
        <v>203</v>
      </c>
      <c r="C43" s="233" t="s">
        <v>675</v>
      </c>
      <c r="D43" s="51">
        <v>53</v>
      </c>
      <c r="E43" s="49">
        <f>D43/100*A43</f>
        <v>79.5</v>
      </c>
      <c r="F43" s="18"/>
      <c r="G43" s="43"/>
      <c r="H43" s="55">
        <f>IF(E43=0,A43,A43/E43*J43)</f>
        <v>128.0763435459568</v>
      </c>
      <c r="I43" s="56" t="str">
        <f>B43</f>
        <v>orange</v>
      </c>
      <c r="J43" s="49">
        <f>E43*$M$18%</f>
        <v>67.880462079357102</v>
      </c>
      <c r="K43" s="275"/>
      <c r="O43" s="45"/>
      <c r="P43"/>
      <c r="Q43"/>
    </row>
    <row r="44" spans="1:17">
      <c r="A44" s="42"/>
      <c r="B44" s="131"/>
      <c r="C44" s="200"/>
      <c r="E44" s="130" t="s">
        <v>6</v>
      </c>
      <c r="F44" s="135">
        <f>SUM(E31:E43)</f>
        <v>781.2600000000001</v>
      </c>
      <c r="G44" s="128"/>
      <c r="H44" s="42"/>
      <c r="I44" s="131"/>
      <c r="J44" s="130" t="s">
        <v>6</v>
      </c>
      <c r="K44" s="336">
        <f>SUM(J31:J43)</f>
        <v>667.0728277247614</v>
      </c>
      <c r="O44" s="45"/>
      <c r="Q44"/>
    </row>
    <row r="45" spans="1:17" ht="6" customHeight="1">
      <c r="A45" s="17"/>
      <c r="B45" s="17"/>
      <c r="C45" s="188"/>
      <c r="D45" s="68"/>
      <c r="E45" s="17"/>
      <c r="F45" s="18"/>
      <c r="G45" s="43"/>
      <c r="H45" s="17"/>
      <c r="I45" s="17"/>
      <c r="J45" s="17"/>
      <c r="O45" s="45"/>
      <c r="P45"/>
      <c r="Q45"/>
    </row>
    <row r="46" spans="1:17">
      <c r="A46" s="216" t="s">
        <v>228</v>
      </c>
      <c r="B46" s="16"/>
      <c r="C46" s="209"/>
      <c r="D46" s="17"/>
      <c r="E46" s="17"/>
      <c r="F46" s="18"/>
      <c r="G46" s="43"/>
      <c r="H46" s="17"/>
      <c r="I46" s="17"/>
      <c r="J46" s="17"/>
      <c r="P46"/>
      <c r="Q46"/>
    </row>
    <row r="47" spans="1:17">
      <c r="A47" s="438">
        <v>100</v>
      </c>
      <c r="B47" s="107" t="s">
        <v>279</v>
      </c>
      <c r="C47" s="185" t="s">
        <v>676</v>
      </c>
      <c r="D47" s="51">
        <v>112</v>
      </c>
      <c r="E47" s="49">
        <f>D47/100*A47</f>
        <v>112.00000000000001</v>
      </c>
      <c r="F47" s="68"/>
      <c r="G47" s="128"/>
      <c r="H47" s="55">
        <f>IF(E47=0,A47,A47/E47*J47)</f>
        <v>85.384229030637869</v>
      </c>
      <c r="I47" s="2" t="str">
        <f>B47</f>
        <v>petit-suisse</v>
      </c>
      <c r="J47" s="49">
        <f>E47*$M$18%</f>
        <v>95.630336514314422</v>
      </c>
      <c r="P47"/>
      <c r="Q47"/>
    </row>
    <row r="48" spans="1:17">
      <c r="A48" s="438">
        <v>12</v>
      </c>
      <c r="B48" s="107" t="s">
        <v>2</v>
      </c>
      <c r="C48" s="186" t="s">
        <v>674</v>
      </c>
      <c r="D48" s="51">
        <v>400</v>
      </c>
      <c r="E48" s="49">
        <f>D48/100*A48</f>
        <v>48</v>
      </c>
      <c r="F48" s="18"/>
      <c r="G48" s="43"/>
      <c r="H48" s="55">
        <f>IF(E48=0,A48,A48/E48*J48)</f>
        <v>10.246107483676544</v>
      </c>
      <c r="I48" s="2" t="str">
        <f>B48</f>
        <v>sucre</v>
      </c>
      <c r="J48" s="49">
        <f>E48*$M$18%</f>
        <v>40.984429934706178</v>
      </c>
    </row>
    <row r="49" spans="1:17">
      <c r="A49" s="42"/>
      <c r="B49" s="157"/>
      <c r="C49" s="272"/>
      <c r="E49" s="130" t="s">
        <v>6</v>
      </c>
      <c r="F49" s="159">
        <f>SUM(E47:E48)</f>
        <v>160</v>
      </c>
      <c r="G49" s="140"/>
      <c r="H49" s="42"/>
      <c r="I49" s="131"/>
      <c r="J49" s="130" t="s">
        <v>6</v>
      </c>
      <c r="K49" s="336">
        <f>SUM(J47:J48)</f>
        <v>136.61476644902061</v>
      </c>
      <c r="O49" s="45"/>
      <c r="Q49"/>
    </row>
    <row r="50" spans="1:17">
      <c r="A50" s="216" t="s">
        <v>226</v>
      </c>
      <c r="B50" s="16"/>
      <c r="C50" s="209"/>
      <c r="D50" s="17"/>
      <c r="E50" s="17"/>
      <c r="F50" s="18"/>
      <c r="G50" s="43"/>
      <c r="H50" s="17"/>
      <c r="I50" s="17"/>
      <c r="J50" s="17"/>
      <c r="L50" s="154"/>
      <c r="P50"/>
      <c r="Q50"/>
    </row>
    <row r="51" spans="1:17">
      <c r="A51" s="66" t="s">
        <v>411</v>
      </c>
      <c r="B51" s="257"/>
      <c r="C51" s="257"/>
      <c r="D51" s="257"/>
      <c r="E51" s="257"/>
      <c r="F51" s="257"/>
      <c r="G51" s="257"/>
      <c r="H51" s="257"/>
      <c r="I51" s="257"/>
      <c r="J51" s="258"/>
      <c r="O51" s="45"/>
      <c r="Q51"/>
    </row>
    <row r="52" spans="1:17">
      <c r="A52" s="439">
        <v>5</v>
      </c>
      <c r="B52" s="107" t="s">
        <v>419</v>
      </c>
      <c r="C52" s="273" t="s">
        <v>676</v>
      </c>
      <c r="D52" s="253">
        <v>27</v>
      </c>
      <c r="E52" s="49">
        <f t="shared" ref="E52:E61" si="8">D52/100*A52</f>
        <v>1.35</v>
      </c>
      <c r="F52" s="68"/>
      <c r="G52" s="128"/>
      <c r="H52" s="55">
        <f t="shared" ref="H52:H61" si="9">IF(E52=0,A52,A52/E52*J52)</f>
        <v>4.269211451531894</v>
      </c>
      <c r="I52" s="2" t="str">
        <f t="shared" ref="I52:I61" si="10">B52</f>
        <v>basilic</v>
      </c>
      <c r="J52" s="49">
        <f t="shared" ref="J52:J61" si="11">E52*$M$18%</f>
        <v>1.1526870919136114</v>
      </c>
      <c r="O52" s="45"/>
      <c r="P52"/>
      <c r="Q52"/>
    </row>
    <row r="53" spans="1:17">
      <c r="A53" s="439">
        <f>18/4</f>
        <v>4.5</v>
      </c>
      <c r="B53" s="107" t="s">
        <v>169</v>
      </c>
      <c r="C53" s="273" t="s">
        <v>676</v>
      </c>
      <c r="D53" s="253">
        <v>131</v>
      </c>
      <c r="E53" s="49">
        <f t="shared" si="8"/>
        <v>5.8950000000000005</v>
      </c>
      <c r="F53" s="68"/>
      <c r="G53" s="128"/>
      <c r="H53" s="55">
        <f t="shared" si="9"/>
        <v>3.8422903063787044</v>
      </c>
      <c r="I53" s="2" t="str">
        <f t="shared" si="10"/>
        <v>aïl</v>
      </c>
      <c r="J53" s="49">
        <f t="shared" si="11"/>
        <v>5.0334003013561031</v>
      </c>
      <c r="N53" s="273" t="s">
        <v>233</v>
      </c>
      <c r="O53" s="45"/>
      <c r="P53"/>
      <c r="Q53"/>
    </row>
    <row r="54" spans="1:17">
      <c r="A54" s="439">
        <v>150</v>
      </c>
      <c r="B54" s="107" t="s">
        <v>420</v>
      </c>
      <c r="C54" s="273" t="s">
        <v>676</v>
      </c>
      <c r="D54" s="253">
        <v>78</v>
      </c>
      <c r="E54" s="49">
        <f t="shared" si="8"/>
        <v>117</v>
      </c>
      <c r="F54" s="68"/>
      <c r="G54" s="128"/>
      <c r="H54" s="55">
        <f t="shared" si="9"/>
        <v>128.07634354595683</v>
      </c>
      <c r="I54" s="2" t="str">
        <f t="shared" si="10"/>
        <v xml:space="preserve">filets cabillaud </v>
      </c>
      <c r="J54" s="49">
        <f t="shared" si="11"/>
        <v>99.89954796584631</v>
      </c>
      <c r="L54" s="154"/>
      <c r="N54" s="199" t="s">
        <v>231</v>
      </c>
      <c r="O54" s="45"/>
      <c r="P54"/>
      <c r="Q54"/>
    </row>
    <row r="55" spans="1:17">
      <c r="A55" s="439">
        <v>4</v>
      </c>
      <c r="B55" s="107" t="s">
        <v>409</v>
      </c>
      <c r="C55" s="249" t="s">
        <v>677</v>
      </c>
      <c r="D55" s="253">
        <v>230</v>
      </c>
      <c r="E55" s="49">
        <f t="shared" si="8"/>
        <v>9.1999999999999993</v>
      </c>
      <c r="F55" s="68"/>
      <c r="G55" s="128"/>
      <c r="H55" s="55">
        <f t="shared" si="9"/>
        <v>3.4153691612255148</v>
      </c>
      <c r="I55" s="2" t="str">
        <f t="shared" si="10"/>
        <v>tapenade en bocal</v>
      </c>
      <c r="J55" s="49">
        <f t="shared" si="11"/>
        <v>7.8553490708186837</v>
      </c>
      <c r="L55" s="154"/>
      <c r="N55" s="196" t="s">
        <v>229</v>
      </c>
      <c r="O55" s="45"/>
      <c r="P55"/>
      <c r="Q55"/>
    </row>
    <row r="56" spans="1:17">
      <c r="A56" s="439">
        <v>3</v>
      </c>
      <c r="B56" s="107" t="s">
        <v>108</v>
      </c>
      <c r="C56" s="197" t="s">
        <v>674</v>
      </c>
      <c r="D56" s="253">
        <v>899</v>
      </c>
      <c r="E56" s="49">
        <f t="shared" si="8"/>
        <v>26.97</v>
      </c>
      <c r="F56" s="68"/>
      <c r="G56" s="128"/>
      <c r="H56" s="55">
        <f t="shared" si="9"/>
        <v>2.5615268709191361</v>
      </c>
      <c r="I56" s="2" t="str">
        <f t="shared" si="10"/>
        <v>huile d'olive</v>
      </c>
      <c r="J56" s="49">
        <f t="shared" si="11"/>
        <v>23.028126569563032</v>
      </c>
      <c r="N56" s="249" t="s">
        <v>232</v>
      </c>
      <c r="O56" s="45"/>
      <c r="P56"/>
      <c r="Q56"/>
    </row>
    <row r="57" spans="1:17">
      <c r="A57" s="439">
        <v>100</v>
      </c>
      <c r="B57" s="107" t="s">
        <v>421</v>
      </c>
      <c r="C57" s="199" t="s">
        <v>675</v>
      </c>
      <c r="D57" s="253">
        <v>116</v>
      </c>
      <c r="E57" s="49">
        <f t="shared" si="8"/>
        <v>115.99999999999999</v>
      </c>
      <c r="F57" s="68"/>
      <c r="G57" s="128"/>
      <c r="H57" s="55">
        <f t="shared" si="9"/>
        <v>85.384229030637869</v>
      </c>
      <c r="I57" s="2" t="str">
        <f t="shared" si="10"/>
        <v>penne</v>
      </c>
      <c r="J57" s="49">
        <f t="shared" si="11"/>
        <v>99.045705675539921</v>
      </c>
      <c r="N57" s="197" t="s">
        <v>230</v>
      </c>
      <c r="O57" s="45"/>
      <c r="P57"/>
      <c r="Q57"/>
    </row>
    <row r="58" spans="1:17">
      <c r="A58" s="439">
        <v>100</v>
      </c>
      <c r="B58" s="107" t="s">
        <v>141</v>
      </c>
      <c r="C58" s="306" t="s">
        <v>676</v>
      </c>
      <c r="D58" s="253">
        <v>30</v>
      </c>
      <c r="E58" s="49">
        <f t="shared" si="8"/>
        <v>30</v>
      </c>
      <c r="F58" s="68"/>
      <c r="G58" s="128"/>
      <c r="H58" s="55">
        <f t="shared" si="9"/>
        <v>85.384229030637883</v>
      </c>
      <c r="I58" s="2" t="str">
        <f t="shared" si="10"/>
        <v>carottes</v>
      </c>
      <c r="J58" s="49">
        <f t="shared" si="11"/>
        <v>25.615268709191362</v>
      </c>
      <c r="O58" s="45"/>
      <c r="P58"/>
      <c r="Q58"/>
    </row>
    <row r="59" spans="1:17">
      <c r="A59" s="439">
        <f>125/4</f>
        <v>31.25</v>
      </c>
      <c r="B59" s="107" t="s">
        <v>410</v>
      </c>
      <c r="C59" s="249" t="s">
        <v>677</v>
      </c>
      <c r="D59" s="253">
        <v>264</v>
      </c>
      <c r="E59" s="49">
        <f t="shared" si="8"/>
        <v>82.5</v>
      </c>
      <c r="F59" s="68"/>
      <c r="G59" s="128"/>
      <c r="H59" s="55">
        <f t="shared" si="9"/>
        <v>26.682571572074334</v>
      </c>
      <c r="I59" s="2" t="str">
        <f t="shared" si="10"/>
        <v>feta de brebis</v>
      </c>
      <c r="J59" s="49">
        <f t="shared" si="11"/>
        <v>70.44198895027624</v>
      </c>
      <c r="O59" s="45"/>
      <c r="P59"/>
      <c r="Q59"/>
    </row>
    <row r="60" spans="1:17">
      <c r="A60" s="439">
        <v>12</v>
      </c>
      <c r="B60" s="107" t="s">
        <v>266</v>
      </c>
      <c r="C60" s="197" t="s">
        <v>674</v>
      </c>
      <c r="D60" s="253">
        <v>446</v>
      </c>
      <c r="E60" s="49">
        <f t="shared" si="8"/>
        <v>53.519999999999996</v>
      </c>
      <c r="F60" s="68"/>
      <c r="G60" s="128"/>
      <c r="H60" s="55">
        <f t="shared" si="9"/>
        <v>10.246107483676544</v>
      </c>
      <c r="I60" s="2" t="str">
        <f t="shared" si="10"/>
        <v>sauce à salade française</v>
      </c>
      <c r="J60" s="49">
        <f t="shared" si="11"/>
        <v>45.697639377197383</v>
      </c>
      <c r="O60" s="45"/>
      <c r="P60"/>
      <c r="Q60"/>
    </row>
    <row r="61" spans="1:17">
      <c r="A61" s="439">
        <v>0.5</v>
      </c>
      <c r="B61" s="107" t="s">
        <v>109</v>
      </c>
      <c r="C61" s="197" t="s">
        <v>674</v>
      </c>
      <c r="D61" s="253"/>
      <c r="E61" s="49">
        <f t="shared" si="8"/>
        <v>0</v>
      </c>
      <c r="F61" s="68"/>
      <c r="G61" s="128"/>
      <c r="H61" s="55">
        <f t="shared" si="9"/>
        <v>0.5</v>
      </c>
      <c r="I61" s="2" t="str">
        <f t="shared" si="10"/>
        <v>sel</v>
      </c>
      <c r="J61" s="49">
        <f t="shared" si="11"/>
        <v>0</v>
      </c>
      <c r="O61" s="45"/>
      <c r="P61"/>
      <c r="Q61"/>
    </row>
    <row r="62" spans="1:17">
      <c r="A62" s="42"/>
      <c r="B62" s="131"/>
      <c r="C62" s="201"/>
      <c r="E62" s="130" t="s">
        <v>6</v>
      </c>
      <c r="F62" s="138">
        <f>SUM(E52:E61)</f>
        <v>442.43499999999995</v>
      </c>
      <c r="G62" s="140"/>
      <c r="H62" s="42"/>
      <c r="I62" s="131"/>
      <c r="J62" s="130" t="s">
        <v>6</v>
      </c>
      <c r="K62" s="336">
        <f>SUM(J52:J61)</f>
        <v>377.76971371170271</v>
      </c>
      <c r="O62" s="45"/>
      <c r="Q62"/>
    </row>
    <row r="63" spans="1:17">
      <c r="A63" s="256" t="s">
        <v>219</v>
      </c>
      <c r="B63" s="257"/>
      <c r="C63" s="257"/>
      <c r="D63" s="257"/>
      <c r="E63" s="257"/>
      <c r="F63" s="259"/>
      <c r="G63" s="260"/>
      <c r="H63" s="257"/>
      <c r="I63" s="257"/>
      <c r="J63" s="258"/>
      <c r="O63" s="45"/>
      <c r="Q63"/>
    </row>
    <row r="64" spans="1:17">
      <c r="A64" s="438">
        <v>75</v>
      </c>
      <c r="B64" s="2" t="s">
        <v>4</v>
      </c>
      <c r="C64" s="233" t="s">
        <v>675</v>
      </c>
      <c r="D64" s="51">
        <v>55</v>
      </c>
      <c r="E64" s="49">
        <f t="shared" ref="E64:E70" si="12">D64/100*A64</f>
        <v>41.25</v>
      </c>
      <c r="F64" s="68"/>
      <c r="G64" s="128"/>
      <c r="H64" s="55">
        <f t="shared" ref="H64:H70" si="13">IF(E64=0,A64,A64/E64*J64)</f>
        <v>64.038171772978401</v>
      </c>
      <c r="I64" s="2" t="str">
        <f t="shared" ref="I64:I70" si="14">B64</f>
        <v>pomme</v>
      </c>
      <c r="J64" s="49">
        <f t="shared" ref="J64:J70" si="15">E64*$M$18%</f>
        <v>35.22099447513812</v>
      </c>
      <c r="K64" s="241"/>
      <c r="O64" s="45"/>
      <c r="P64"/>
      <c r="Q64"/>
    </row>
    <row r="65" spans="1:17">
      <c r="A65" s="438">
        <v>125</v>
      </c>
      <c r="B65" s="2" t="s">
        <v>220</v>
      </c>
      <c r="C65" s="185" t="s">
        <v>676</v>
      </c>
      <c r="D65" s="51">
        <v>49</v>
      </c>
      <c r="E65" s="49">
        <f t="shared" si="12"/>
        <v>61.25</v>
      </c>
      <c r="F65" s="68"/>
      <c r="G65" s="128"/>
      <c r="H65" s="55">
        <f t="shared" si="13"/>
        <v>106.73028628829734</v>
      </c>
      <c r="I65" s="2" t="str">
        <f t="shared" si="14"/>
        <v>ananas</v>
      </c>
      <c r="J65" s="49">
        <f t="shared" si="15"/>
        <v>52.297840281265692</v>
      </c>
      <c r="K65" s="241"/>
      <c r="O65" s="45"/>
      <c r="P65"/>
      <c r="Q65"/>
    </row>
    <row r="66" spans="1:17">
      <c r="A66" s="438">
        <v>65</v>
      </c>
      <c r="B66" s="2" t="s">
        <v>199</v>
      </c>
      <c r="C66" s="185" t="s">
        <v>676</v>
      </c>
      <c r="D66" s="164">
        <v>91</v>
      </c>
      <c r="E66" s="49">
        <f t="shared" si="12"/>
        <v>59.15</v>
      </c>
      <c r="F66" s="68"/>
      <c r="G66" s="128"/>
      <c r="H66" s="55">
        <f t="shared" si="13"/>
        <v>55.499748869914619</v>
      </c>
      <c r="I66" s="2" t="str">
        <f t="shared" si="14"/>
        <v>banane</v>
      </c>
      <c r="J66" s="49">
        <f t="shared" si="15"/>
        <v>50.504771471622298</v>
      </c>
      <c r="K66" s="241"/>
      <c r="O66" s="45"/>
      <c r="P66"/>
      <c r="Q66"/>
    </row>
    <row r="67" spans="1:17">
      <c r="A67" s="438">
        <v>37.5</v>
      </c>
      <c r="B67" s="2" t="s">
        <v>222</v>
      </c>
      <c r="C67" s="185" t="s">
        <v>676</v>
      </c>
      <c r="D67" s="2">
        <v>49</v>
      </c>
      <c r="E67" s="49">
        <f t="shared" si="12"/>
        <v>18.375</v>
      </c>
      <c r="F67" s="68"/>
      <c r="G67" s="128"/>
      <c r="H67" s="55">
        <f t="shared" si="13"/>
        <v>32.019085886489201</v>
      </c>
      <c r="I67" s="2" t="str">
        <f t="shared" si="14"/>
        <v>kiwi</v>
      </c>
      <c r="J67" s="49">
        <f t="shared" si="15"/>
        <v>15.689352084379708</v>
      </c>
      <c r="K67" s="241"/>
      <c r="L67" s="154"/>
      <c r="O67" s="45"/>
      <c r="P67"/>
      <c r="Q67"/>
    </row>
    <row r="68" spans="1:17">
      <c r="A68" s="438">
        <v>22</v>
      </c>
      <c r="B68" s="2" t="s">
        <v>221</v>
      </c>
      <c r="C68" s="233" t="s">
        <v>675</v>
      </c>
      <c r="D68" s="51">
        <v>64</v>
      </c>
      <c r="E68" s="49">
        <f t="shared" si="12"/>
        <v>14.08</v>
      </c>
      <c r="F68" s="68"/>
      <c r="G68" s="128"/>
      <c r="H68" s="55">
        <f t="shared" si="13"/>
        <v>18.784530386740332</v>
      </c>
      <c r="I68" s="2" t="str">
        <f t="shared" si="14"/>
        <v>litchi</v>
      </c>
      <c r="J68" s="49">
        <f t="shared" si="15"/>
        <v>12.022099447513812</v>
      </c>
      <c r="K68" s="241"/>
      <c r="L68" s="154"/>
      <c r="O68" s="45"/>
      <c r="P68"/>
      <c r="Q68"/>
    </row>
    <row r="69" spans="1:17">
      <c r="A69" s="438">
        <v>12</v>
      </c>
      <c r="B69" s="2" t="s">
        <v>223</v>
      </c>
      <c r="C69" s="185" t="s">
        <v>676</v>
      </c>
      <c r="D69" s="164">
        <v>17</v>
      </c>
      <c r="E69" s="49">
        <f t="shared" si="12"/>
        <v>2.04</v>
      </c>
      <c r="F69" s="68"/>
      <c r="G69" s="128"/>
      <c r="H69" s="55">
        <f t="shared" si="13"/>
        <v>10.246107483676543</v>
      </c>
      <c r="I69" s="2" t="str">
        <f t="shared" si="14"/>
        <v>jus citron</v>
      </c>
      <c r="J69" s="49">
        <f t="shared" si="15"/>
        <v>1.7418382722250125</v>
      </c>
      <c r="K69" s="241"/>
      <c r="L69" s="154"/>
      <c r="O69" s="45"/>
      <c r="P69"/>
      <c r="Q69"/>
    </row>
    <row r="70" spans="1:17">
      <c r="A70" s="453">
        <v>3</v>
      </c>
      <c r="B70" s="289" t="s">
        <v>422</v>
      </c>
      <c r="C70" s="197" t="s">
        <v>674</v>
      </c>
      <c r="D70" s="291">
        <v>298</v>
      </c>
      <c r="E70" s="49">
        <f t="shared" si="12"/>
        <v>8.94</v>
      </c>
      <c r="F70" s="68"/>
      <c r="G70" s="128"/>
      <c r="H70" s="55">
        <f t="shared" si="13"/>
        <v>2.5615268709191361</v>
      </c>
      <c r="I70" s="2" t="str">
        <f t="shared" si="14"/>
        <v>raisins secs sultanine</v>
      </c>
      <c r="J70" s="49">
        <f t="shared" si="15"/>
        <v>7.6333500753390249</v>
      </c>
      <c r="K70" s="241"/>
      <c r="L70" s="154"/>
      <c r="O70" s="45"/>
      <c r="P70"/>
      <c r="Q70"/>
    </row>
    <row r="71" spans="1:17">
      <c r="A71" s="42"/>
      <c r="B71" s="131"/>
      <c r="C71" s="201"/>
      <c r="E71" s="143" t="s">
        <v>6</v>
      </c>
      <c r="F71" s="138">
        <f>SUM(E64:E70)</f>
        <v>205.08500000000001</v>
      </c>
      <c r="G71" s="25"/>
      <c r="H71" s="42"/>
      <c r="I71" s="131"/>
      <c r="J71" s="143" t="s">
        <v>6</v>
      </c>
      <c r="K71" s="336">
        <f>SUM(J64:J70)</f>
        <v>175.11024610748368</v>
      </c>
      <c r="L71" s="154"/>
      <c r="O71" s="45"/>
      <c r="Q71"/>
    </row>
    <row r="72" spans="1:17">
      <c r="A72" s="54">
        <f>IF(D5="non",0,IF(D5="1 verre",125,250))</f>
        <v>0</v>
      </c>
      <c r="B72" s="2" t="str">
        <f>IF(A72=0,"","vin")</f>
        <v/>
      </c>
      <c r="C72" s="203"/>
      <c r="D72" s="51">
        <v>80</v>
      </c>
      <c r="E72" s="49">
        <f>D72/100*A72</f>
        <v>0</v>
      </c>
      <c r="G72" s="142"/>
      <c r="H72" s="55">
        <f>IF(E72=0,A72,A72/E72*J72)</f>
        <v>0</v>
      </c>
      <c r="I72" s="2" t="str">
        <f>B72</f>
        <v/>
      </c>
      <c r="J72" s="49">
        <f>E72*$M$18%</f>
        <v>0</v>
      </c>
      <c r="K72" s="335"/>
      <c r="L72" s="154"/>
      <c r="O72" s="45"/>
      <c r="P72"/>
      <c r="Q72"/>
    </row>
    <row r="73" spans="1:17" ht="6" customHeight="1">
      <c r="A73" s="17"/>
      <c r="B73" s="17"/>
      <c r="C73" s="188"/>
      <c r="D73" s="68"/>
      <c r="E73" s="17"/>
      <c r="F73" s="18"/>
      <c r="G73" s="204"/>
      <c r="H73" s="17"/>
      <c r="I73" s="17"/>
      <c r="J73" s="17"/>
      <c r="K73" s="335"/>
      <c r="L73" s="154"/>
      <c r="P73"/>
      <c r="Q73"/>
    </row>
    <row r="74" spans="1:17">
      <c r="A74" s="17"/>
      <c r="B74" s="17"/>
      <c r="C74" s="188"/>
      <c r="D74" s="69" t="s">
        <v>129</v>
      </c>
      <c r="F74" s="138">
        <f>SUM(F22:F72)</f>
        <v>1991.3500000000001</v>
      </c>
      <c r="G74" s="204"/>
      <c r="H74" s="17"/>
      <c r="I74" s="69" t="s">
        <v>129</v>
      </c>
      <c r="K74" s="336">
        <f>SUM(K22:K72)</f>
        <v>1700.2988448016072</v>
      </c>
      <c r="P74"/>
      <c r="Q74"/>
    </row>
    <row r="75" spans="1:17">
      <c r="A75" s="17"/>
      <c r="B75" s="17"/>
      <c r="C75" s="188"/>
      <c r="D75" s="18" t="s">
        <v>130</v>
      </c>
      <c r="E75" s="25"/>
      <c r="F75" s="144">
        <f>F74+E72</f>
        <v>1991.3500000000001</v>
      </c>
      <c r="G75" s="43"/>
      <c r="H75" s="42"/>
      <c r="I75" s="18" t="s">
        <v>130</v>
      </c>
      <c r="J75" s="25"/>
      <c r="K75" s="336">
        <f>K74+J72</f>
        <v>1700.2988448016072</v>
      </c>
      <c r="P75"/>
      <c r="Q75"/>
    </row>
    <row r="76" spans="1:17">
      <c r="A76" s="17"/>
      <c r="B76" s="16"/>
      <c r="C76" s="188"/>
      <c r="D76" s="17"/>
      <c r="E76" s="17"/>
      <c r="F76" s="205"/>
      <c r="G76" s="43"/>
      <c r="H76" s="17"/>
      <c r="I76" s="17"/>
      <c r="J76" s="17"/>
      <c r="P76"/>
      <c r="Q76"/>
    </row>
    <row r="77" spans="1:17" ht="19">
      <c r="A77" s="118" t="s">
        <v>100</v>
      </c>
      <c r="B77" s="491" t="s">
        <v>99</v>
      </c>
      <c r="C77" s="491"/>
      <c r="D77" s="17"/>
      <c r="E77" s="17"/>
      <c r="F77" s="18"/>
      <c r="G77" s="18"/>
      <c r="H77" s="17"/>
      <c r="I77" s="17"/>
      <c r="J77" s="17"/>
      <c r="P77"/>
      <c r="Q77"/>
    </row>
    <row r="78" spans="1:17" ht="409" customHeight="1">
      <c r="A78" s="17"/>
      <c r="B78" s="16"/>
      <c r="C78" s="228"/>
      <c r="D78" s="17"/>
      <c r="E78" s="17"/>
      <c r="F78" s="18"/>
      <c r="G78" s="18"/>
      <c r="H78" s="17"/>
      <c r="I78" s="17"/>
      <c r="J78" s="17"/>
      <c r="K78" s="18"/>
      <c r="P78"/>
      <c r="Q78"/>
    </row>
    <row r="79" spans="1:17">
      <c r="A79" s="17"/>
      <c r="B79" s="16"/>
      <c r="C79" s="188"/>
      <c r="D79" s="17"/>
      <c r="E79" s="17"/>
      <c r="F79" s="18"/>
      <c r="G79" s="18"/>
      <c r="H79" s="17"/>
      <c r="I79" s="17"/>
      <c r="J79" s="17"/>
      <c r="P79"/>
      <c r="Q79"/>
    </row>
    <row r="80" spans="1:17">
      <c r="A80" s="17"/>
      <c r="B80" s="16"/>
      <c r="C80" s="188"/>
      <c r="D80" s="17"/>
      <c r="E80" s="17"/>
      <c r="F80" s="18"/>
      <c r="G80" s="18"/>
      <c r="H80" s="17"/>
      <c r="I80" s="17"/>
      <c r="J80" s="17"/>
      <c r="P80"/>
      <c r="Q80"/>
    </row>
    <row r="81" spans="2:17">
      <c r="F81" s="18"/>
      <c r="G81" s="18"/>
      <c r="N81"/>
      <c r="O81"/>
      <c r="P81"/>
      <c r="Q81"/>
    </row>
    <row r="82" spans="2:17">
      <c r="F82" s="206"/>
      <c r="N82"/>
      <c r="O82"/>
      <c r="P82"/>
      <c r="Q82"/>
    </row>
    <row r="83" spans="2:17">
      <c r="B83"/>
      <c r="C83"/>
      <c r="N83"/>
      <c r="O83"/>
      <c r="P83"/>
      <c r="Q83"/>
    </row>
    <row r="84" spans="2:17">
      <c r="B84"/>
      <c r="C84"/>
      <c r="N84"/>
      <c r="O84"/>
      <c r="P84"/>
      <c r="Q84"/>
    </row>
    <row r="85" spans="2:17">
      <c r="B85"/>
      <c r="C85"/>
      <c r="N85"/>
      <c r="O85"/>
      <c r="P85"/>
      <c r="Q85"/>
    </row>
    <row r="86" spans="2:17">
      <c r="B86"/>
      <c r="C86"/>
      <c r="N86"/>
      <c r="O86"/>
      <c r="P86"/>
      <c r="Q86"/>
    </row>
    <row r="87" spans="2:17">
      <c r="B87"/>
      <c r="C87"/>
      <c r="N87"/>
      <c r="O87"/>
      <c r="P87"/>
      <c r="Q87"/>
    </row>
    <row r="88" spans="2:17">
      <c r="B88"/>
      <c r="C88"/>
      <c r="N88"/>
      <c r="O88"/>
      <c r="P88"/>
      <c r="Q88"/>
    </row>
    <row r="89" spans="2:17">
      <c r="B89"/>
      <c r="C89"/>
      <c r="N89"/>
      <c r="O89"/>
      <c r="P89"/>
      <c r="Q89"/>
    </row>
    <row r="90" spans="2:17">
      <c r="B90"/>
      <c r="C90"/>
      <c r="N90"/>
      <c r="O90"/>
      <c r="P90"/>
      <c r="Q90"/>
    </row>
    <row r="91" spans="2:17">
      <c r="B91"/>
      <c r="C91"/>
      <c r="N91"/>
      <c r="O91"/>
      <c r="P91"/>
      <c r="Q91"/>
    </row>
    <row r="92" spans="2:17">
      <c r="B92"/>
      <c r="C92"/>
      <c r="N92"/>
      <c r="O92"/>
      <c r="P92"/>
      <c r="Q92"/>
    </row>
    <row r="93" spans="2:17">
      <c r="B93"/>
      <c r="C93"/>
      <c r="N93"/>
      <c r="O93"/>
      <c r="P93"/>
      <c r="Q93"/>
    </row>
    <row r="94" spans="2:17">
      <c r="B94"/>
      <c r="C94"/>
      <c r="N94"/>
      <c r="O94"/>
      <c r="P94"/>
      <c r="Q94"/>
    </row>
    <row r="95" spans="2:17">
      <c r="B95"/>
      <c r="C95"/>
      <c r="N95"/>
      <c r="O95"/>
      <c r="P95"/>
      <c r="Q95"/>
    </row>
    <row r="96" spans="2:17">
      <c r="B96"/>
      <c r="C96"/>
      <c r="N96"/>
      <c r="O96"/>
      <c r="P96"/>
      <c r="Q96"/>
    </row>
    <row r="97" spans="2:17">
      <c r="B97"/>
      <c r="C97"/>
      <c r="F97"/>
      <c r="G97"/>
      <c r="K97" s="235"/>
      <c r="N97"/>
      <c r="O97"/>
      <c r="P97"/>
      <c r="Q97"/>
    </row>
    <row r="98" spans="2:17">
      <c r="B98"/>
      <c r="C98"/>
      <c r="F98"/>
      <c r="G98"/>
      <c r="K98" s="235"/>
      <c r="N98"/>
      <c r="O98"/>
      <c r="P98"/>
      <c r="Q98"/>
    </row>
    <row r="99" spans="2:17">
      <c r="B99"/>
      <c r="C99"/>
      <c r="F99"/>
      <c r="G99"/>
      <c r="K99" s="235"/>
      <c r="N99"/>
      <c r="O99"/>
      <c r="P99"/>
      <c r="Q99"/>
    </row>
    <row r="100" spans="2:17">
      <c r="B100"/>
      <c r="C100"/>
      <c r="F100"/>
      <c r="G100"/>
      <c r="K100" s="235"/>
      <c r="N100"/>
      <c r="O100"/>
      <c r="P100"/>
      <c r="Q100"/>
    </row>
    <row r="101" spans="2:17">
      <c r="B101"/>
      <c r="C101"/>
      <c r="F101"/>
      <c r="G101"/>
      <c r="K101" s="235"/>
      <c r="N101"/>
      <c r="O101"/>
      <c r="P101"/>
      <c r="Q101"/>
    </row>
  </sheetData>
  <sheetProtection password="A5F4" sheet="1" objects="1" scenarios="1" selectLockedCells="1"/>
  <mergeCells count="8">
    <mergeCell ref="B77:C77"/>
    <mergeCell ref="D8:J8"/>
    <mergeCell ref="B15:J15"/>
    <mergeCell ref="A18:A19"/>
    <mergeCell ref="B18:B19"/>
    <mergeCell ref="D18:E18"/>
    <mergeCell ref="H18:H19"/>
    <mergeCell ref="I18:I19"/>
  </mergeCells>
  <dataValidations xWindow="90" yWindow="644" count="2">
    <dataValidation allowBlank="1" showInputMessage="1" showErrorMessage="1" promptTitle="Modification des quantités" prompt="Vous pouvez diminuer ou augmenter la quantité,._x000d_Si vous désirez supprimer l'aliment, inscrivez 0 (zéro)." sqref="A68 A35 A65"/>
    <dataValidation allowBlank="1" showErrorMessage="1" promptTitle="Modification des quantités" prompt="Vous pouvez diminuer ou augmenter la quantité,._x000d_Si vous désirez supprimer l'aliment, inscrivez 0 (zéro)." sqref="A43 A22:A25"/>
  </dataValidations>
  <hyperlinks>
    <hyperlink ref="B77" location="sommaire!A1" display="RETOUR AU SOMMAIRE"/>
    <hyperlink ref="C77"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90" yWindow="644"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5"/>
  <sheetViews>
    <sheetView workbookViewId="0">
      <selection activeCell="D5" sqref="D5"/>
    </sheetView>
  </sheetViews>
  <sheetFormatPr baseColWidth="10" defaultRowHeight="15" x14ac:dyDescent="0"/>
  <cols>
    <col min="1" max="1" width="6.33203125" customWidth="1"/>
    <col min="2" max="2" width="24.3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78" style="242" customWidth="1"/>
    <col min="13" max="13" width="6.6640625" style="407" customWidth="1"/>
    <col min="14" max="14" width="3.33203125" style="44" customWidth="1"/>
    <col min="15" max="17" width="10.83203125" style="44"/>
  </cols>
  <sheetData>
    <row r="1" spans="1:17" ht="19">
      <c r="A1" s="207" t="s">
        <v>743</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ROUND(F78,0)</f>
        <v>1995</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295</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D3+E76-D11</f>
        <v>295</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22"/>
      <c r="D18" s="481" t="s">
        <v>7</v>
      </c>
      <c r="E18" s="482"/>
      <c r="F18" s="18"/>
      <c r="G18" s="43"/>
      <c r="H18" s="487" t="str">
        <f>A18</f>
        <v>g/cl</v>
      </c>
      <c r="I18" s="489" t="str">
        <f>B18</f>
        <v>Ingrédients</v>
      </c>
      <c r="J18" s="70" t="s">
        <v>7</v>
      </c>
      <c r="M18" s="411">
        <f>100-(D12/((D11+D12)/100))</f>
        <v>85.213032581453632</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242</v>
      </c>
      <c r="B21" s="16"/>
      <c r="C21" s="209"/>
      <c r="D21" s="17"/>
      <c r="E21" s="17"/>
      <c r="F21" s="18"/>
      <c r="G21" s="43"/>
      <c r="H21" s="17"/>
      <c r="I21" s="17"/>
      <c r="J21" s="17"/>
      <c r="L21" s="154"/>
      <c r="P21"/>
      <c r="Q21"/>
    </row>
    <row r="22" spans="1:17">
      <c r="A22" s="438">
        <v>30</v>
      </c>
      <c r="B22" s="2" t="s">
        <v>102</v>
      </c>
      <c r="C22" s="196" t="s">
        <v>673</v>
      </c>
      <c r="D22" s="51">
        <v>229</v>
      </c>
      <c r="E22" s="49">
        <f t="shared" ref="E22:E29" si="0">D22/100*A22</f>
        <v>68.7</v>
      </c>
      <c r="F22" s="154"/>
      <c r="G22" s="43"/>
      <c r="H22" s="55">
        <f t="shared" ref="H22:H29" si="1">IF(E22=0,A22,A22/E22*J22)</f>
        <v>25.563909774436087</v>
      </c>
      <c r="I22" s="2" t="str">
        <f t="shared" ref="I22:I29" si="2">B22</f>
        <v>pain complet</v>
      </c>
      <c r="J22" s="49">
        <f>E22*$M$18%</f>
        <v>58.541353383458649</v>
      </c>
      <c r="M22" s="411"/>
      <c r="Q22"/>
    </row>
    <row r="23" spans="1:17">
      <c r="A23" s="438">
        <v>5</v>
      </c>
      <c r="B23" s="2" t="s">
        <v>0</v>
      </c>
      <c r="C23" s="197" t="s">
        <v>674</v>
      </c>
      <c r="D23" s="51">
        <v>747.3</v>
      </c>
      <c r="E23" s="49">
        <f t="shared" si="0"/>
        <v>37.365000000000002</v>
      </c>
      <c r="F23" s="154"/>
      <c r="G23" s="43"/>
      <c r="H23" s="55">
        <f t="shared" si="1"/>
        <v>4.2606516290726821</v>
      </c>
      <c r="I23" s="2" t="str">
        <f t="shared" si="2"/>
        <v>beurre</v>
      </c>
      <c r="J23" s="49">
        <f t="shared" ref="J23:J29" si="3">E23*$M$18%</f>
        <v>31.83984962406015</v>
      </c>
      <c r="Q23"/>
    </row>
    <row r="24" spans="1:17">
      <c r="A24" s="438">
        <v>10</v>
      </c>
      <c r="B24" s="2" t="s">
        <v>3</v>
      </c>
      <c r="C24" s="197" t="s">
        <v>674</v>
      </c>
      <c r="D24" s="51">
        <v>246</v>
      </c>
      <c r="E24" s="49">
        <f t="shared" si="0"/>
        <v>24.6</v>
      </c>
      <c r="F24" s="154"/>
      <c r="G24" s="43"/>
      <c r="H24" s="55">
        <f t="shared" si="1"/>
        <v>8.5213032581453625</v>
      </c>
      <c r="I24" s="2" t="str">
        <f t="shared" si="2"/>
        <v>confiture</v>
      </c>
      <c r="J24" s="49">
        <f t="shared" si="3"/>
        <v>20.962406015037594</v>
      </c>
      <c r="O24" s="45"/>
      <c r="Q24"/>
    </row>
    <row r="25" spans="1:17">
      <c r="A25" s="438">
        <v>150</v>
      </c>
      <c r="B25" s="2" t="s">
        <v>1</v>
      </c>
      <c r="C25" s="198"/>
      <c r="D25" s="51">
        <v>0</v>
      </c>
      <c r="E25" s="49">
        <f t="shared" si="0"/>
        <v>0</v>
      </c>
      <c r="F25" s="154"/>
      <c r="G25" s="43"/>
      <c r="H25" s="55">
        <f t="shared" si="1"/>
        <v>150</v>
      </c>
      <c r="I25" s="2" t="str">
        <f t="shared" si="2"/>
        <v>café</v>
      </c>
      <c r="J25" s="49">
        <f t="shared" si="3"/>
        <v>0</v>
      </c>
      <c r="O25" s="45"/>
      <c r="Q25"/>
    </row>
    <row r="26" spans="1:17">
      <c r="A26" s="438">
        <v>4</v>
      </c>
      <c r="B26" s="2" t="s">
        <v>2</v>
      </c>
      <c r="C26" s="197" t="s">
        <v>674</v>
      </c>
      <c r="D26" s="51">
        <v>400</v>
      </c>
      <c r="E26" s="49">
        <f t="shared" si="0"/>
        <v>16</v>
      </c>
      <c r="F26" s="154"/>
      <c r="G26" s="43"/>
      <c r="H26" s="55">
        <f t="shared" si="1"/>
        <v>3.4085213032581452</v>
      </c>
      <c r="I26" s="2" t="str">
        <f t="shared" si="2"/>
        <v>sucre</v>
      </c>
      <c r="J26" s="49">
        <f t="shared" si="3"/>
        <v>13.634085213032581</v>
      </c>
      <c r="O26" s="45"/>
      <c r="Q26"/>
    </row>
    <row r="27" spans="1:17">
      <c r="A27" s="438">
        <v>12</v>
      </c>
      <c r="B27" s="2" t="s">
        <v>5</v>
      </c>
      <c r="C27" s="196" t="s">
        <v>673</v>
      </c>
      <c r="D27" s="51">
        <v>161</v>
      </c>
      <c r="E27" s="49">
        <f t="shared" si="0"/>
        <v>19.32</v>
      </c>
      <c r="F27" s="154"/>
      <c r="G27" s="43"/>
      <c r="H27" s="55">
        <f t="shared" si="1"/>
        <v>10.225563909774435</v>
      </c>
      <c r="I27" s="2" t="str">
        <f t="shared" si="2"/>
        <v>crème à café</v>
      </c>
      <c r="J27" s="49">
        <f t="shared" si="3"/>
        <v>16.463157894736842</v>
      </c>
      <c r="O27" s="45"/>
      <c r="Q27"/>
    </row>
    <row r="28" spans="1:17">
      <c r="A28" s="438">
        <v>125</v>
      </c>
      <c r="B28" s="2" t="s">
        <v>123</v>
      </c>
      <c r="C28" s="199" t="s">
        <v>675</v>
      </c>
      <c r="D28" s="51">
        <v>87</v>
      </c>
      <c r="E28" s="49">
        <f t="shared" si="0"/>
        <v>108.75</v>
      </c>
      <c r="F28" s="154"/>
      <c r="G28" s="43"/>
      <c r="H28" s="55">
        <f t="shared" si="1"/>
        <v>106.51629072681703</v>
      </c>
      <c r="I28" s="2" t="str">
        <f t="shared" si="2"/>
        <v>yogourt aux fruits</v>
      </c>
      <c r="J28" s="49">
        <f t="shared" si="3"/>
        <v>92.669172932330824</v>
      </c>
      <c r="O28" s="45"/>
      <c r="Q28"/>
    </row>
    <row r="29" spans="1:17">
      <c r="A29" s="438">
        <v>150</v>
      </c>
      <c r="B29" s="2" t="s">
        <v>103</v>
      </c>
      <c r="C29" s="199" t="s">
        <v>675</v>
      </c>
      <c r="D29" s="51">
        <v>45</v>
      </c>
      <c r="E29" s="49">
        <f t="shared" si="0"/>
        <v>67.5</v>
      </c>
      <c r="F29" s="154"/>
      <c r="G29" s="128"/>
      <c r="H29" s="55">
        <f t="shared" si="1"/>
        <v>127.81954887218045</v>
      </c>
      <c r="I29" s="2" t="str">
        <f t="shared" si="2"/>
        <v>jus d'orange maison</v>
      </c>
      <c r="J29" s="49">
        <f t="shared" si="3"/>
        <v>57.518796992481199</v>
      </c>
      <c r="K29" s="275"/>
      <c r="O29" s="45"/>
      <c r="Q29"/>
    </row>
    <row r="30" spans="1:17">
      <c r="A30" s="42"/>
      <c r="B30" s="131"/>
      <c r="C30" s="200"/>
      <c r="E30" s="130" t="s">
        <v>6</v>
      </c>
      <c r="F30" s="309">
        <f>SUM(E22:E29)</f>
        <v>342.23500000000001</v>
      </c>
      <c r="G30" s="128"/>
      <c r="H30" s="42"/>
      <c r="I30" s="131"/>
      <c r="J30" s="130" t="s">
        <v>6</v>
      </c>
      <c r="K30" s="336">
        <f>SUM(J22:J29)</f>
        <v>291.62882205513785</v>
      </c>
      <c r="L30" s="154"/>
      <c r="O30" s="45"/>
      <c r="Q30"/>
    </row>
    <row r="31" spans="1:17">
      <c r="A31" s="216" t="s">
        <v>225</v>
      </c>
      <c r="B31" s="16"/>
      <c r="C31" s="209"/>
      <c r="D31" s="17"/>
      <c r="E31" s="17"/>
      <c r="F31" s="154"/>
      <c r="G31" s="43"/>
      <c r="H31" s="17"/>
      <c r="I31" s="17"/>
      <c r="J31" s="17"/>
      <c r="L31" s="154"/>
      <c r="P31"/>
      <c r="Q31"/>
    </row>
    <row r="32" spans="1:17">
      <c r="A32" s="66" t="s">
        <v>737</v>
      </c>
      <c r="B32" s="63"/>
      <c r="C32" s="202"/>
      <c r="D32" s="63"/>
      <c r="E32" s="64"/>
      <c r="F32" s="154"/>
      <c r="G32" s="43"/>
      <c r="H32" s="65"/>
      <c r="I32" s="63"/>
      <c r="J32" s="67"/>
      <c r="O32" s="45"/>
      <c r="Q32"/>
    </row>
    <row r="33" spans="1:17">
      <c r="A33" s="439">
        <v>200</v>
      </c>
      <c r="B33" s="2" t="s">
        <v>438</v>
      </c>
      <c r="C33" s="331" t="s">
        <v>676</v>
      </c>
      <c r="D33" s="253">
        <v>76</v>
      </c>
      <c r="E33" s="254">
        <f t="shared" ref="E33:E44" si="4">D33/100*A33</f>
        <v>152</v>
      </c>
      <c r="F33" s="154"/>
      <c r="G33" s="43"/>
      <c r="H33" s="255">
        <f t="shared" ref="H33:H44" si="5">IF(E33=0,A33,A33/E33*J33)</f>
        <v>170.42606516290726</v>
      </c>
      <c r="I33" s="251" t="str">
        <f t="shared" ref="I33:I46" si="6">B33</f>
        <v xml:space="preserve"> pommes de terre</v>
      </c>
      <c r="J33" s="254">
        <f t="shared" ref="J33:J46" si="7">E33*$M$18%</f>
        <v>129.52380952380952</v>
      </c>
      <c r="O33" s="45"/>
      <c r="Q33"/>
    </row>
    <row r="34" spans="1:17">
      <c r="A34" s="439">
        <f>180/4</f>
        <v>45</v>
      </c>
      <c r="B34" s="2" t="s">
        <v>181</v>
      </c>
      <c r="C34" s="331" t="s">
        <v>676</v>
      </c>
      <c r="D34" s="253">
        <v>146</v>
      </c>
      <c r="E34" s="49">
        <f t="shared" si="4"/>
        <v>65.7</v>
      </c>
      <c r="F34" s="154"/>
      <c r="G34" s="128"/>
      <c r="H34" s="55">
        <f t="shared" si="5"/>
        <v>38.345864661654133</v>
      </c>
      <c r="I34" s="2" t="str">
        <f t="shared" si="6"/>
        <v>œufs</v>
      </c>
      <c r="J34" s="49">
        <f t="shared" si="7"/>
        <v>55.984962406015036</v>
      </c>
      <c r="O34" s="45"/>
      <c r="Q34"/>
    </row>
    <row r="35" spans="1:17">
      <c r="A35" s="439">
        <v>12</v>
      </c>
      <c r="B35" s="2" t="s">
        <v>145</v>
      </c>
      <c r="C35" s="197" t="s">
        <v>674</v>
      </c>
      <c r="D35" s="253">
        <v>252</v>
      </c>
      <c r="E35" s="49">
        <f t="shared" si="4"/>
        <v>30.240000000000002</v>
      </c>
      <c r="F35" s="154"/>
      <c r="G35" s="128"/>
      <c r="H35" s="55">
        <f t="shared" si="5"/>
        <v>10.225563909774436</v>
      </c>
      <c r="I35" s="2" t="str">
        <f t="shared" si="6"/>
        <v>crème</v>
      </c>
      <c r="J35" s="49">
        <f t="shared" si="7"/>
        <v>25.768421052631581</v>
      </c>
      <c r="O35" s="45"/>
      <c r="Q35"/>
    </row>
    <row r="36" spans="1:17">
      <c r="A36" s="439">
        <v>15</v>
      </c>
      <c r="B36" s="2" t="s">
        <v>284</v>
      </c>
      <c r="C36" s="197" t="s">
        <v>674</v>
      </c>
      <c r="D36" s="253">
        <v>370</v>
      </c>
      <c r="E36" s="49">
        <f t="shared" si="4"/>
        <v>55.5</v>
      </c>
      <c r="F36" s="154"/>
      <c r="G36" s="128"/>
      <c r="H36" s="55">
        <f t="shared" si="5"/>
        <v>12.781954887218046</v>
      </c>
      <c r="I36" s="2" t="str">
        <f t="shared" si="6"/>
        <v>chapelure</v>
      </c>
      <c r="J36" s="49">
        <f t="shared" si="7"/>
        <v>47.293233082706763</v>
      </c>
      <c r="O36" s="45"/>
      <c r="Q36"/>
    </row>
    <row r="37" spans="1:17">
      <c r="A37" s="439">
        <v>9</v>
      </c>
      <c r="B37" s="2" t="s">
        <v>424</v>
      </c>
      <c r="C37" s="331" t="s">
        <v>676</v>
      </c>
      <c r="D37" s="253">
        <v>25</v>
      </c>
      <c r="E37" s="49">
        <f t="shared" si="4"/>
        <v>2.25</v>
      </c>
      <c r="F37" s="154"/>
      <c r="G37" s="128"/>
      <c r="H37" s="55">
        <f t="shared" si="5"/>
        <v>7.6691729323308264</v>
      </c>
      <c r="I37" s="2" t="str">
        <f t="shared" si="6"/>
        <v>fines herbes</v>
      </c>
      <c r="J37" s="49">
        <f t="shared" si="7"/>
        <v>1.9172932330827066</v>
      </c>
      <c r="O37" s="45"/>
      <c r="Q37"/>
    </row>
    <row r="38" spans="1:17">
      <c r="A38" s="439">
        <v>75</v>
      </c>
      <c r="B38" s="2" t="s">
        <v>240</v>
      </c>
      <c r="C38" s="331" t="s">
        <v>676</v>
      </c>
      <c r="D38" s="253">
        <v>19</v>
      </c>
      <c r="E38" s="49">
        <f t="shared" si="4"/>
        <v>14.25</v>
      </c>
      <c r="F38" s="154"/>
      <c r="G38" s="128"/>
      <c r="H38" s="55">
        <f t="shared" si="5"/>
        <v>63.909774436090224</v>
      </c>
      <c r="I38" s="2" t="str">
        <f t="shared" si="6"/>
        <v>tomates</v>
      </c>
      <c r="J38" s="49">
        <f t="shared" si="7"/>
        <v>12.142857142857142</v>
      </c>
      <c r="O38" s="45"/>
      <c r="Q38"/>
    </row>
    <row r="39" spans="1:17">
      <c r="A39" s="439">
        <f>150/4</f>
        <v>37.5</v>
      </c>
      <c r="B39" s="2" t="s">
        <v>432</v>
      </c>
      <c r="C39" s="249" t="s">
        <v>677</v>
      </c>
      <c r="D39" s="253">
        <v>422</v>
      </c>
      <c r="E39" s="49">
        <f t="shared" si="4"/>
        <v>158.25</v>
      </c>
      <c r="F39" s="154"/>
      <c r="G39" s="128"/>
      <c r="H39" s="55">
        <f t="shared" si="5"/>
        <v>31.954887218045112</v>
      </c>
      <c r="I39" s="2" t="str">
        <f t="shared" si="6"/>
        <v>Gruyères</v>
      </c>
      <c r="J39" s="49">
        <f t="shared" si="7"/>
        <v>134.84962406015038</v>
      </c>
      <c r="O39" s="45"/>
      <c r="Q39"/>
    </row>
    <row r="40" spans="1:17">
      <c r="A40" s="439">
        <v>50</v>
      </c>
      <c r="B40" s="2" t="s">
        <v>425</v>
      </c>
      <c r="C40" s="331" t="s">
        <v>676</v>
      </c>
      <c r="D40" s="253">
        <v>20</v>
      </c>
      <c r="E40" s="49">
        <f t="shared" si="4"/>
        <v>10</v>
      </c>
      <c r="F40" s="154"/>
      <c r="G40" s="128"/>
      <c r="H40" s="55">
        <f t="shared" si="5"/>
        <v>42.606516290726816</v>
      </c>
      <c r="I40" s="2" t="str">
        <f t="shared" si="6"/>
        <v>rampon</v>
      </c>
      <c r="J40" s="49">
        <f t="shared" si="7"/>
        <v>8.5213032581453625</v>
      </c>
      <c r="O40" s="45"/>
      <c r="Q40"/>
    </row>
    <row r="41" spans="1:17">
      <c r="A41" s="439">
        <v>12</v>
      </c>
      <c r="B41" s="2" t="s">
        <v>426</v>
      </c>
      <c r="C41" s="199" t="s">
        <v>675</v>
      </c>
      <c r="D41" s="253">
        <v>68</v>
      </c>
      <c r="E41" s="49">
        <f t="shared" si="4"/>
        <v>8.16</v>
      </c>
      <c r="F41" s="154"/>
      <c r="G41" s="128"/>
      <c r="H41" s="55">
        <f t="shared" si="5"/>
        <v>10.225563909774435</v>
      </c>
      <c r="I41" s="2" t="str">
        <f t="shared" si="6"/>
        <v>sauce à salade yogourt</v>
      </c>
      <c r="J41" s="49">
        <f t="shared" si="7"/>
        <v>6.9533834586466163</v>
      </c>
      <c r="O41" s="45"/>
      <c r="Q41"/>
    </row>
    <row r="42" spans="1:17">
      <c r="A42" s="439">
        <v>0.25</v>
      </c>
      <c r="B42" s="2" t="s">
        <v>166</v>
      </c>
      <c r="C42" s="196" t="s">
        <v>673</v>
      </c>
      <c r="D42" s="253">
        <v>319</v>
      </c>
      <c r="E42" s="49">
        <f t="shared" si="4"/>
        <v>0.79749999999999999</v>
      </c>
      <c r="F42" s="154"/>
      <c r="G42" s="128"/>
      <c r="H42" s="55">
        <f t="shared" si="5"/>
        <v>0.2130325814536341</v>
      </c>
      <c r="I42" s="2" t="str">
        <f>B42</f>
        <v>paprika</v>
      </c>
      <c r="J42" s="49">
        <f>E42*$M$18%</f>
        <v>0.67957393483709272</v>
      </c>
      <c r="O42" s="45"/>
      <c r="P42"/>
      <c r="Q42"/>
    </row>
    <row r="43" spans="1:17">
      <c r="A43" s="439">
        <v>0.5</v>
      </c>
      <c r="B43" s="2" t="s">
        <v>109</v>
      </c>
      <c r="C43" s="197" t="s">
        <v>674</v>
      </c>
      <c r="D43" s="253">
        <v>0</v>
      </c>
      <c r="E43" s="49">
        <f t="shared" si="4"/>
        <v>0</v>
      </c>
      <c r="F43" s="154"/>
      <c r="G43" s="128"/>
      <c r="H43" s="55">
        <f t="shared" si="5"/>
        <v>0.5</v>
      </c>
      <c r="I43" s="2" t="str">
        <f t="shared" si="6"/>
        <v>sel</v>
      </c>
      <c r="J43" s="49">
        <f t="shared" si="7"/>
        <v>0</v>
      </c>
      <c r="O43" s="45"/>
      <c r="Q43"/>
    </row>
    <row r="44" spans="1:17">
      <c r="A44" s="439">
        <v>0.25</v>
      </c>
      <c r="B44" s="107" t="s">
        <v>116</v>
      </c>
      <c r="C44" s="183" t="s">
        <v>675</v>
      </c>
      <c r="D44" s="51">
        <v>222</v>
      </c>
      <c r="E44" s="49">
        <f t="shared" si="4"/>
        <v>0.55500000000000005</v>
      </c>
      <c r="F44" s="154"/>
      <c r="G44" s="128"/>
      <c r="H44" s="55">
        <f t="shared" si="5"/>
        <v>0.21303258145363407</v>
      </c>
      <c r="I44" s="2" t="str">
        <f t="shared" si="6"/>
        <v>poivre</v>
      </c>
      <c r="J44" s="49">
        <f t="shared" si="7"/>
        <v>0.4729323308270677</v>
      </c>
      <c r="O44" s="45"/>
      <c r="Q44"/>
    </row>
    <row r="45" spans="1:17">
      <c r="A45" s="66" t="s">
        <v>127</v>
      </c>
      <c r="B45" s="63"/>
      <c r="C45" s="202"/>
      <c r="D45" s="63"/>
      <c r="E45" s="64"/>
      <c r="F45" s="154"/>
      <c r="G45" s="43"/>
      <c r="H45" s="65"/>
      <c r="I45" s="63"/>
      <c r="J45" s="67"/>
      <c r="O45" s="45"/>
      <c r="Q45"/>
    </row>
    <row r="46" spans="1:17">
      <c r="A46" s="438">
        <v>120</v>
      </c>
      <c r="B46" s="2" t="s">
        <v>430</v>
      </c>
      <c r="C46" s="332" t="s">
        <v>676</v>
      </c>
      <c r="D46" s="51">
        <v>43</v>
      </c>
      <c r="E46" s="49">
        <f>D46/100*A46</f>
        <v>51.6</v>
      </c>
      <c r="F46" s="154"/>
      <c r="G46" s="43"/>
      <c r="H46" s="55">
        <f>IF(E46=0,A46,A46/E46*J46)</f>
        <v>102.25563909774436</v>
      </c>
      <c r="I46" s="56" t="str">
        <f t="shared" si="6"/>
        <v>pêche</v>
      </c>
      <c r="J46" s="49">
        <f t="shared" si="7"/>
        <v>43.969924812030072</v>
      </c>
      <c r="K46" s="275"/>
      <c r="O46" s="45"/>
      <c r="P46"/>
      <c r="Q46"/>
    </row>
    <row r="47" spans="1:17">
      <c r="A47" s="42"/>
      <c r="B47" s="131"/>
      <c r="C47" s="200"/>
      <c r="E47" s="130" t="s">
        <v>6</v>
      </c>
      <c r="F47" s="146">
        <f>SUM(E33:E46)</f>
        <v>549.30250000000001</v>
      </c>
      <c r="G47" s="128"/>
      <c r="H47" s="42"/>
      <c r="I47" s="131"/>
      <c r="J47" s="130" t="s">
        <v>6</v>
      </c>
      <c r="K47" s="337">
        <f>SUM(J33:J46)</f>
        <v>468.07731829573936</v>
      </c>
      <c r="O47" s="45"/>
      <c r="Q47"/>
    </row>
    <row r="48" spans="1:17" ht="6" customHeight="1">
      <c r="A48" s="17"/>
      <c r="B48" s="17"/>
      <c r="C48" s="188"/>
      <c r="D48" s="68"/>
      <c r="E48" s="17"/>
      <c r="F48" s="124"/>
      <c r="G48" s="43"/>
      <c r="H48" s="17"/>
      <c r="I48" s="17"/>
      <c r="J48" s="17"/>
      <c r="O48" s="45"/>
      <c r="P48"/>
      <c r="Q48"/>
    </row>
    <row r="49" spans="1:17">
      <c r="A49" s="216" t="s">
        <v>228</v>
      </c>
      <c r="B49" s="16"/>
      <c r="C49" s="209"/>
      <c r="D49" s="17"/>
      <c r="E49" s="17"/>
      <c r="F49" s="154"/>
      <c r="G49" s="43"/>
      <c r="H49" s="17"/>
      <c r="I49" s="17"/>
      <c r="J49" s="17"/>
      <c r="P49"/>
      <c r="Q49"/>
    </row>
    <row r="50" spans="1:17">
      <c r="A50" s="438">
        <v>100</v>
      </c>
      <c r="B50" s="107" t="s">
        <v>199</v>
      </c>
      <c r="C50" s="332" t="s">
        <v>675</v>
      </c>
      <c r="D50" s="51">
        <v>91</v>
      </c>
      <c r="E50" s="49">
        <f>D50/100*A50</f>
        <v>91</v>
      </c>
      <c r="F50" s="154"/>
      <c r="G50" s="43"/>
      <c r="H50" s="55">
        <f>IF(E50=0,A50,A50/E50*J50)</f>
        <v>85.213032581453646</v>
      </c>
      <c r="I50" s="2" t="str">
        <f>B50</f>
        <v>banane</v>
      </c>
      <c r="J50" s="49">
        <f>E50*$M$18%</f>
        <v>77.543859649122808</v>
      </c>
      <c r="L50" s="154"/>
    </row>
    <row r="51" spans="1:17">
      <c r="A51" s="42"/>
      <c r="B51" s="157"/>
      <c r="C51" s="272"/>
      <c r="E51" s="130" t="s">
        <v>6</v>
      </c>
      <c r="F51" s="146">
        <f>SUM(E50:E50)</f>
        <v>91</v>
      </c>
      <c r="G51" s="140"/>
      <c r="H51" s="42"/>
      <c r="I51" s="131"/>
      <c r="J51" s="130" t="s">
        <v>6</v>
      </c>
      <c r="K51" s="337">
        <f>SUM(J50:J50)</f>
        <v>77.543859649122808</v>
      </c>
      <c r="O51" s="45"/>
      <c r="Q51"/>
    </row>
    <row r="52" spans="1:17">
      <c r="A52" s="216" t="s">
        <v>226</v>
      </c>
      <c r="B52" s="16"/>
      <c r="C52" s="209"/>
      <c r="D52" s="17"/>
      <c r="E52" s="17"/>
      <c r="F52" s="154"/>
      <c r="G52" s="43"/>
      <c r="H52" s="17"/>
      <c r="I52" s="17"/>
      <c r="J52" s="17"/>
      <c r="P52"/>
      <c r="Q52"/>
    </row>
    <row r="53" spans="1:17">
      <c r="A53" s="65" t="s">
        <v>423</v>
      </c>
      <c r="B53" s="257"/>
      <c r="C53" s="323"/>
      <c r="D53" s="257"/>
      <c r="E53" s="258"/>
      <c r="F53" s="154"/>
      <c r="G53" s="43"/>
      <c r="H53" s="256"/>
      <c r="I53" s="257"/>
      <c r="J53" s="258"/>
      <c r="O53" s="45"/>
      <c r="Q53"/>
    </row>
    <row r="54" spans="1:17">
      <c r="A54" s="439">
        <v>150</v>
      </c>
      <c r="B54" s="2" t="s">
        <v>433</v>
      </c>
      <c r="C54" s="332" t="s">
        <v>676</v>
      </c>
      <c r="D54" s="253">
        <v>112</v>
      </c>
      <c r="E54" s="49">
        <f t="shared" ref="E54:E65" si="8">D54/100*A54</f>
        <v>168.00000000000003</v>
      </c>
      <c r="F54" s="154"/>
      <c r="G54" s="128"/>
      <c r="H54" s="55">
        <f t="shared" ref="H54:H65" si="9">IF(E54=0,A54,A54/E54*J54)</f>
        <v>127.81954887218043</v>
      </c>
      <c r="I54" s="2" t="str">
        <f t="shared" ref="I54:I64" si="10">B54</f>
        <v>filets d’agneau</v>
      </c>
      <c r="J54" s="49">
        <f t="shared" ref="J54:J76" si="11">E54*$M$18%</f>
        <v>143.15789473684211</v>
      </c>
      <c r="L54" s="154"/>
      <c r="O54" s="45"/>
      <c r="P54"/>
      <c r="Q54"/>
    </row>
    <row r="55" spans="1:17">
      <c r="A55" s="439">
        <v>6</v>
      </c>
      <c r="B55" s="2" t="s">
        <v>427</v>
      </c>
      <c r="C55" s="197" t="s">
        <v>674</v>
      </c>
      <c r="D55" s="253">
        <v>899</v>
      </c>
      <c r="E55" s="49">
        <f t="shared" si="8"/>
        <v>53.94</v>
      </c>
      <c r="F55" s="154"/>
      <c r="G55" s="128"/>
      <c r="H55" s="55">
        <f t="shared" si="9"/>
        <v>5.1127819548872173</v>
      </c>
      <c r="I55" s="2" t="str">
        <f t="shared" si="10"/>
        <v>huile d’arachide</v>
      </c>
      <c r="J55" s="49">
        <f t="shared" si="11"/>
        <v>45.963909774436083</v>
      </c>
      <c r="L55" s="154"/>
      <c r="O55" s="45"/>
      <c r="P55"/>
      <c r="Q55"/>
    </row>
    <row r="56" spans="1:17">
      <c r="A56" s="439">
        <v>0.25</v>
      </c>
      <c r="B56" s="2" t="s">
        <v>428</v>
      </c>
      <c r="C56" s="276"/>
      <c r="D56" s="253"/>
      <c r="E56" s="49">
        <f t="shared" si="8"/>
        <v>0</v>
      </c>
      <c r="F56" s="154"/>
      <c r="G56" s="128"/>
      <c r="H56" s="55">
        <f t="shared" si="9"/>
        <v>0.25</v>
      </c>
      <c r="I56" s="2" t="str">
        <f t="shared" si="10"/>
        <v>coriandre moulue</v>
      </c>
      <c r="J56" s="49">
        <f t="shared" si="11"/>
        <v>0</v>
      </c>
      <c r="O56" s="45"/>
      <c r="P56"/>
      <c r="Q56"/>
    </row>
    <row r="57" spans="1:17">
      <c r="A57" s="439">
        <v>0.12</v>
      </c>
      <c r="B57" s="2" t="s">
        <v>429</v>
      </c>
      <c r="C57" s="197" t="s">
        <v>674</v>
      </c>
      <c r="D57" s="253">
        <v>507</v>
      </c>
      <c r="E57" s="49">
        <f t="shared" si="8"/>
        <v>0.60840000000000005</v>
      </c>
      <c r="F57" s="154"/>
      <c r="G57" s="128"/>
      <c r="H57" s="55">
        <f t="shared" si="9"/>
        <v>0.10225563909774435</v>
      </c>
      <c r="I57" s="2" t="str">
        <f t="shared" si="10"/>
        <v>noix de muscade moulue</v>
      </c>
      <c r="J57" s="49">
        <f t="shared" si="11"/>
        <v>0.51843609022556392</v>
      </c>
      <c r="O57" s="45"/>
      <c r="P57"/>
      <c r="Q57"/>
    </row>
    <row r="58" spans="1:17">
      <c r="A58" s="439">
        <v>125</v>
      </c>
      <c r="B58" s="2" t="s">
        <v>439</v>
      </c>
      <c r="C58" s="332" t="s">
        <v>676</v>
      </c>
      <c r="D58" s="253">
        <v>31</v>
      </c>
      <c r="E58" s="49">
        <f t="shared" si="8"/>
        <v>38.75</v>
      </c>
      <c r="F58" s="154"/>
      <c r="G58" s="128"/>
      <c r="H58" s="55">
        <f t="shared" si="9"/>
        <v>106.51629072681703</v>
      </c>
      <c r="I58" s="2" t="str">
        <f t="shared" si="10"/>
        <v>chou frisé</v>
      </c>
      <c r="J58" s="49">
        <f t="shared" si="11"/>
        <v>33.020050125313283</v>
      </c>
      <c r="O58" s="45"/>
      <c r="P58"/>
      <c r="Q58"/>
    </row>
    <row r="59" spans="1:17">
      <c r="A59" s="439">
        <v>25</v>
      </c>
      <c r="B59" s="2" t="s">
        <v>271</v>
      </c>
      <c r="C59" s="332" t="s">
        <v>676</v>
      </c>
      <c r="D59" s="253">
        <v>29</v>
      </c>
      <c r="E59" s="49">
        <f t="shared" si="8"/>
        <v>7.2499999999999991</v>
      </c>
      <c r="F59" s="154"/>
      <c r="G59" s="128"/>
      <c r="H59" s="55">
        <f t="shared" si="9"/>
        <v>21.303258145363404</v>
      </c>
      <c r="I59" s="2" t="str">
        <f t="shared" si="10"/>
        <v>oignon</v>
      </c>
      <c r="J59" s="49">
        <f t="shared" si="11"/>
        <v>6.1779448621553872</v>
      </c>
      <c r="O59" s="45"/>
      <c r="P59"/>
      <c r="Q59"/>
    </row>
    <row r="60" spans="1:17">
      <c r="A60" s="439">
        <f>6.25</f>
        <v>6.25</v>
      </c>
      <c r="B60" s="2" t="s">
        <v>408</v>
      </c>
      <c r="C60" s="332" t="s">
        <v>676</v>
      </c>
      <c r="D60" s="253">
        <v>49</v>
      </c>
      <c r="E60" s="49">
        <f t="shared" si="8"/>
        <v>3.0625</v>
      </c>
      <c r="F60" s="154"/>
      <c r="G60" s="128"/>
      <c r="H60" s="55">
        <f t="shared" si="9"/>
        <v>5.325814536340852</v>
      </c>
      <c r="I60" s="2" t="str">
        <f t="shared" si="10"/>
        <v>menthe fraîche</v>
      </c>
      <c r="J60" s="49">
        <f t="shared" si="11"/>
        <v>2.6096491228070176</v>
      </c>
      <c r="O60" s="45"/>
      <c r="P60"/>
      <c r="Q60"/>
    </row>
    <row r="61" spans="1:17">
      <c r="A61" s="439">
        <v>3</v>
      </c>
      <c r="B61" s="2" t="s">
        <v>145</v>
      </c>
      <c r="C61" s="197" t="s">
        <v>674</v>
      </c>
      <c r="D61" s="253">
        <v>252</v>
      </c>
      <c r="E61" s="49">
        <f t="shared" si="8"/>
        <v>7.5600000000000005</v>
      </c>
      <c r="F61" s="154"/>
      <c r="G61" s="128"/>
      <c r="H61" s="55">
        <f t="shared" si="9"/>
        <v>2.5563909774436091</v>
      </c>
      <c r="I61" s="2" t="str">
        <f t="shared" si="10"/>
        <v>crème</v>
      </c>
      <c r="J61" s="49">
        <f t="shared" si="11"/>
        <v>6.4421052631578952</v>
      </c>
      <c r="O61" s="45"/>
      <c r="P61"/>
      <c r="Q61"/>
    </row>
    <row r="62" spans="1:17">
      <c r="A62" s="439">
        <f>(250/4)*3</f>
        <v>187.5</v>
      </c>
      <c r="B62" s="2" t="s">
        <v>434</v>
      </c>
      <c r="C62" s="332" t="s">
        <v>676</v>
      </c>
      <c r="D62" s="253">
        <v>116</v>
      </c>
      <c r="E62" s="49">
        <f t="shared" si="8"/>
        <v>217.49999999999997</v>
      </c>
      <c r="F62" s="154"/>
      <c r="G62" s="128"/>
      <c r="H62" s="55">
        <f t="shared" si="9"/>
        <v>159.77443609022555</v>
      </c>
      <c r="I62" s="2" t="str">
        <f t="shared" si="10"/>
        <v>quinoa (cuit)</v>
      </c>
      <c r="J62" s="49">
        <f t="shared" si="11"/>
        <v>185.33834586466162</v>
      </c>
      <c r="O62" s="45"/>
      <c r="P62"/>
      <c r="Q62"/>
    </row>
    <row r="63" spans="1:17">
      <c r="A63" s="439">
        <v>3</v>
      </c>
      <c r="B63" s="2" t="s">
        <v>0</v>
      </c>
      <c r="C63" s="197" t="s">
        <v>674</v>
      </c>
      <c r="D63" s="253">
        <v>757</v>
      </c>
      <c r="E63" s="49">
        <f t="shared" si="8"/>
        <v>22.71</v>
      </c>
      <c r="F63" s="154"/>
      <c r="G63" s="128"/>
      <c r="H63" s="55">
        <f t="shared" si="9"/>
        <v>2.5563909774436087</v>
      </c>
      <c r="I63" s="2" t="str">
        <f t="shared" si="10"/>
        <v>beurre</v>
      </c>
      <c r="J63" s="49">
        <f t="shared" si="11"/>
        <v>19.351879699248119</v>
      </c>
      <c r="O63" s="45"/>
      <c r="P63"/>
      <c r="Q63"/>
    </row>
    <row r="64" spans="1:17">
      <c r="A64" s="439">
        <v>1</v>
      </c>
      <c r="B64" s="2" t="s">
        <v>331</v>
      </c>
      <c r="C64" s="197" t="s">
        <v>674</v>
      </c>
      <c r="D64" s="253">
        <v>0</v>
      </c>
      <c r="E64" s="49">
        <f t="shared" si="8"/>
        <v>0</v>
      </c>
      <c r="F64" s="129"/>
      <c r="G64" s="128"/>
      <c r="H64" s="55">
        <f t="shared" si="9"/>
        <v>1</v>
      </c>
      <c r="I64" s="2" t="str">
        <f t="shared" si="10"/>
        <v xml:space="preserve">sel </v>
      </c>
      <c r="J64" s="49">
        <f t="shared" si="11"/>
        <v>0</v>
      </c>
      <c r="K64" s="275"/>
      <c r="O64" s="45"/>
      <c r="P64"/>
      <c r="Q64"/>
    </row>
    <row r="65" spans="1:17">
      <c r="A65" s="439">
        <v>0.25</v>
      </c>
      <c r="B65" s="2" t="s">
        <v>150</v>
      </c>
      <c r="C65" s="183" t="s">
        <v>675</v>
      </c>
      <c r="D65" s="253"/>
      <c r="E65" s="49">
        <f t="shared" si="8"/>
        <v>0</v>
      </c>
      <c r="F65" s="154"/>
      <c r="G65" s="128"/>
      <c r="H65" s="55">
        <f t="shared" si="9"/>
        <v>0.25</v>
      </c>
      <c r="I65" s="2" t="str">
        <f>B65</f>
        <v xml:space="preserve">poivre </v>
      </c>
      <c r="J65" s="49">
        <f>E65*$M$18%</f>
        <v>0</v>
      </c>
      <c r="O65" s="45"/>
      <c r="P65"/>
      <c r="Q65"/>
    </row>
    <row r="66" spans="1:17">
      <c r="A66" s="42"/>
      <c r="B66" s="131"/>
      <c r="C66" s="201"/>
      <c r="E66" s="130" t="s">
        <v>6</v>
      </c>
      <c r="F66" s="146">
        <f>SUM(E54:E65)</f>
        <v>519.3809</v>
      </c>
      <c r="G66" s="140"/>
      <c r="H66" s="42"/>
      <c r="I66" s="131"/>
      <c r="J66" s="130" t="s">
        <v>6</v>
      </c>
      <c r="K66" s="337">
        <f>SUM(J54:J65)</f>
        <v>442.58021553884703</v>
      </c>
      <c r="O66" s="45"/>
      <c r="Q66"/>
    </row>
    <row r="67" spans="1:17">
      <c r="A67" s="66" t="s">
        <v>431</v>
      </c>
      <c r="B67" s="256"/>
      <c r="C67" s="323"/>
      <c r="D67" s="257"/>
      <c r="E67" s="258"/>
      <c r="F67" s="154"/>
      <c r="G67" s="43"/>
      <c r="H67" s="256"/>
      <c r="I67" s="257"/>
      <c r="J67" s="258"/>
      <c r="L67" s="154"/>
      <c r="O67" s="45"/>
      <c r="Q67"/>
    </row>
    <row r="68" spans="1:17">
      <c r="A68" s="439">
        <v>60</v>
      </c>
      <c r="B68" s="2" t="s">
        <v>435</v>
      </c>
      <c r="C68" s="332" t="s">
        <v>676</v>
      </c>
      <c r="D68" s="253">
        <v>146</v>
      </c>
      <c r="E68" s="49">
        <f t="shared" ref="E68:E74" si="12">D68/100*A68</f>
        <v>87.6</v>
      </c>
      <c r="F68" s="68"/>
      <c r="G68" s="128"/>
      <c r="H68" s="55">
        <f>IF(E68=0,A68,A68/E68*J68)</f>
        <v>51.127819548872182</v>
      </c>
      <c r="I68" s="2" t="str">
        <f>B68</f>
        <v xml:space="preserve"> œufs</v>
      </c>
      <c r="J68" s="49">
        <f t="shared" si="11"/>
        <v>74.646616541353382</v>
      </c>
      <c r="K68" s="241"/>
      <c r="L68" s="154"/>
      <c r="O68" s="45"/>
      <c r="P68"/>
      <c r="Q68"/>
    </row>
    <row r="69" spans="1:17">
      <c r="A69" s="439">
        <f>130/4</f>
        <v>32.5</v>
      </c>
      <c r="B69" s="2" t="s">
        <v>2</v>
      </c>
      <c r="C69" s="197" t="s">
        <v>674</v>
      </c>
      <c r="D69" s="253">
        <v>400</v>
      </c>
      <c r="E69" s="49">
        <f t="shared" si="12"/>
        <v>130</v>
      </c>
      <c r="F69" s="68"/>
      <c r="G69" s="128"/>
      <c r="H69" s="55">
        <f t="shared" ref="H69:H73" si="13">IF(E69=0,A69,A69/E69*J69)</f>
        <v>27.694235588972429</v>
      </c>
      <c r="I69" s="2" t="str">
        <f t="shared" ref="I69:I73" si="14">B69</f>
        <v>sucre</v>
      </c>
      <c r="J69" s="49">
        <f t="shared" si="11"/>
        <v>110.77694235588972</v>
      </c>
      <c r="K69" s="241"/>
      <c r="L69" s="154"/>
      <c r="O69" s="45"/>
      <c r="P69"/>
      <c r="Q69"/>
    </row>
    <row r="70" spans="1:17">
      <c r="A70" s="439">
        <f>70/4</f>
        <v>17.5</v>
      </c>
      <c r="B70" s="2" t="s">
        <v>118</v>
      </c>
      <c r="C70" s="196" t="s">
        <v>673</v>
      </c>
      <c r="D70" s="253">
        <v>338</v>
      </c>
      <c r="E70" s="49">
        <f t="shared" ref="E70:E71" si="15">D70/100*A70</f>
        <v>59.15</v>
      </c>
      <c r="F70" s="68"/>
      <c r="G70" s="128"/>
      <c r="H70" s="55">
        <f t="shared" ref="H70:H71" si="16">IF(E70=0,A70,A70/E70*J70)</f>
        <v>14.912280701754385</v>
      </c>
      <c r="I70" s="2" t="str">
        <f t="shared" ref="I70:I71" si="17">B70</f>
        <v>farine</v>
      </c>
      <c r="J70" s="49">
        <f t="shared" ref="J70:J71" si="18">E70*$M$18%</f>
        <v>50.403508771929822</v>
      </c>
      <c r="K70" s="241"/>
      <c r="L70" s="154"/>
      <c r="O70" s="45"/>
      <c r="P70"/>
      <c r="Q70"/>
    </row>
    <row r="71" spans="1:17">
      <c r="A71" s="439">
        <v>1</v>
      </c>
      <c r="B71" s="2" t="s">
        <v>390</v>
      </c>
      <c r="C71" s="197" t="s">
        <v>674</v>
      </c>
      <c r="D71" s="253">
        <v>747</v>
      </c>
      <c r="E71" s="49">
        <f t="shared" si="15"/>
        <v>7.47</v>
      </c>
      <c r="F71" s="68"/>
      <c r="G71" s="128"/>
      <c r="H71" s="55">
        <f t="shared" si="16"/>
        <v>0.85213032581453618</v>
      </c>
      <c r="I71" s="2" t="str">
        <f t="shared" si="17"/>
        <v xml:space="preserve">beurre </v>
      </c>
      <c r="J71" s="49">
        <f t="shared" si="18"/>
        <v>6.3654135338345856</v>
      </c>
      <c r="K71" s="241"/>
      <c r="L71" s="154"/>
      <c r="O71" s="45"/>
      <c r="P71"/>
      <c r="Q71"/>
    </row>
    <row r="72" spans="1:17">
      <c r="A72" s="439">
        <f>28/4</f>
        <v>7</v>
      </c>
      <c r="B72" s="2" t="s">
        <v>436</v>
      </c>
      <c r="C72" s="332" t="s">
        <v>676</v>
      </c>
      <c r="D72" s="253">
        <v>17</v>
      </c>
      <c r="E72" s="49">
        <f t="shared" si="12"/>
        <v>1.1900000000000002</v>
      </c>
      <c r="F72" s="68"/>
      <c r="G72" s="128"/>
      <c r="H72" s="55">
        <f t="shared" si="13"/>
        <v>5.9649122807017543</v>
      </c>
      <c r="I72" s="2" t="str">
        <f t="shared" si="14"/>
        <v xml:space="preserve">citron </v>
      </c>
      <c r="J72" s="49">
        <f t="shared" si="11"/>
        <v>1.0140350877192983</v>
      </c>
      <c r="K72" s="241"/>
      <c r="L72" s="154"/>
      <c r="O72" s="45"/>
      <c r="P72"/>
      <c r="Q72"/>
    </row>
    <row r="73" spans="1:17">
      <c r="A73" s="439">
        <f>150/4</f>
        <v>37.5</v>
      </c>
      <c r="B73" s="2" t="s">
        <v>437</v>
      </c>
      <c r="C73" s="197" t="s">
        <v>674</v>
      </c>
      <c r="D73" s="253">
        <v>385</v>
      </c>
      <c r="E73" s="49">
        <f t="shared" si="12"/>
        <v>144.375</v>
      </c>
      <c r="F73" s="68"/>
      <c r="G73" s="128"/>
      <c r="H73" s="55">
        <f t="shared" si="13"/>
        <v>31.954887218045105</v>
      </c>
      <c r="I73" s="2" t="str">
        <f t="shared" si="14"/>
        <v>mascarpone</v>
      </c>
      <c r="J73" s="49">
        <f t="shared" si="11"/>
        <v>123.02631578947367</v>
      </c>
      <c r="K73" s="241"/>
      <c r="L73" s="154"/>
      <c r="O73" s="45"/>
      <c r="P73"/>
      <c r="Q73"/>
    </row>
    <row r="74" spans="1:17">
      <c r="A74" s="439">
        <v>25</v>
      </c>
      <c r="B74" s="2" t="s">
        <v>145</v>
      </c>
      <c r="C74" s="197" t="s">
        <v>674</v>
      </c>
      <c r="D74" s="253">
        <v>252</v>
      </c>
      <c r="E74" s="49">
        <f t="shared" si="12"/>
        <v>63</v>
      </c>
      <c r="F74" s="68"/>
      <c r="G74" s="128"/>
      <c r="H74" s="55">
        <f>IF(E74=0,A74,A74/E74*J74)</f>
        <v>21.303258145363408</v>
      </c>
      <c r="I74" s="2" t="str">
        <f>B74</f>
        <v>crème</v>
      </c>
      <c r="J74" s="49">
        <f>E74*$M$18%</f>
        <v>53.684210526315788</v>
      </c>
      <c r="K74" s="241"/>
      <c r="O74" s="45"/>
      <c r="P74"/>
      <c r="Q74"/>
    </row>
    <row r="75" spans="1:17">
      <c r="A75" s="42"/>
      <c r="B75" s="131"/>
      <c r="C75" s="201"/>
      <c r="E75" s="143" t="s">
        <v>6</v>
      </c>
      <c r="F75" s="308">
        <f>SUM(E68:E74)</f>
        <v>492.78500000000003</v>
      </c>
      <c r="G75" s="25"/>
      <c r="H75" s="42"/>
      <c r="I75" s="131"/>
      <c r="J75" s="143" t="s">
        <v>6</v>
      </c>
      <c r="K75" s="336">
        <f>SUM(J68:J74)</f>
        <v>419.91704260651619</v>
      </c>
      <c r="O75" s="45"/>
      <c r="Q75"/>
    </row>
    <row r="76" spans="1:17">
      <c r="A76" s="54">
        <f>IF(D5="non",0,IF(D5="1 verre",125,250))</f>
        <v>0</v>
      </c>
      <c r="B76" s="2" t="str">
        <f>IF(A76=0,"","vin")</f>
        <v/>
      </c>
      <c r="C76" s="203"/>
      <c r="D76" s="51">
        <v>80</v>
      </c>
      <c r="E76" s="49">
        <f>D76/100*A76</f>
        <v>0</v>
      </c>
      <c r="G76" s="142"/>
      <c r="H76" s="55">
        <f>IF(E76=0,A76,A76/E76*J76)</f>
        <v>0</v>
      </c>
      <c r="I76" s="2" t="str">
        <f>B76</f>
        <v/>
      </c>
      <c r="J76" s="49">
        <f t="shared" si="11"/>
        <v>0</v>
      </c>
      <c r="K76" s="335"/>
      <c r="O76" s="45"/>
      <c r="P76"/>
      <c r="Q76"/>
    </row>
    <row r="77" spans="1:17" ht="6" customHeight="1">
      <c r="A77" s="17"/>
      <c r="B77" s="17"/>
      <c r="C77" s="188"/>
      <c r="D77" s="68"/>
      <c r="E77" s="17"/>
      <c r="F77" s="18"/>
      <c r="G77" s="204"/>
      <c r="H77" s="17"/>
      <c r="I77" s="17"/>
      <c r="J77" s="17"/>
      <c r="K77" s="335"/>
      <c r="P77"/>
      <c r="Q77"/>
    </row>
    <row r="78" spans="1:17">
      <c r="A78" s="17"/>
      <c r="B78" s="17"/>
      <c r="C78" s="188"/>
      <c r="D78" s="69" t="s">
        <v>129</v>
      </c>
      <c r="F78" s="146">
        <f>SUM(F24:F76)</f>
        <v>1994.7034000000001</v>
      </c>
      <c r="G78" s="204"/>
      <c r="H78" s="17"/>
      <c r="I78" s="69" t="s">
        <v>129</v>
      </c>
      <c r="K78" s="337">
        <f>SUM(K22:K76)</f>
        <v>1699.747258145363</v>
      </c>
      <c r="P78"/>
      <c r="Q78"/>
    </row>
    <row r="79" spans="1:17">
      <c r="A79" s="17"/>
      <c r="B79" s="17"/>
      <c r="C79" s="188"/>
      <c r="D79" s="18" t="s">
        <v>130</v>
      </c>
      <c r="E79" s="25"/>
      <c r="F79" s="144">
        <f>F78+E76</f>
        <v>1994.7034000000001</v>
      </c>
      <c r="G79" s="43"/>
      <c r="H79" s="42"/>
      <c r="I79" s="18" t="s">
        <v>130</v>
      </c>
      <c r="J79" s="25"/>
      <c r="K79" s="336">
        <f>K78+J76</f>
        <v>1699.747258145363</v>
      </c>
      <c r="P79"/>
      <c r="Q79"/>
    </row>
    <row r="80" spans="1:17">
      <c r="A80" s="17"/>
      <c r="B80" s="16"/>
      <c r="C80" s="188"/>
      <c r="D80" s="17"/>
      <c r="E80" s="17"/>
      <c r="F80" s="205"/>
      <c r="G80" s="43"/>
      <c r="H80" s="17"/>
      <c r="I80" s="17"/>
      <c r="J80" s="17"/>
      <c r="P80"/>
      <c r="Q80"/>
    </row>
    <row r="81" spans="1:17" ht="19">
      <c r="A81" s="118" t="s">
        <v>100</v>
      </c>
      <c r="B81" s="491" t="s">
        <v>99</v>
      </c>
      <c r="C81" s="491"/>
      <c r="D81" s="17"/>
      <c r="E81" s="17"/>
      <c r="F81" s="18"/>
      <c r="G81" s="18"/>
      <c r="H81" s="17"/>
      <c r="I81" s="17"/>
      <c r="J81" s="17"/>
      <c r="P81"/>
      <c r="Q81"/>
    </row>
    <row r="82" spans="1:17" ht="409" customHeight="1">
      <c r="A82" s="17"/>
      <c r="B82" s="16"/>
      <c r="C82" s="228"/>
      <c r="D82" s="17"/>
      <c r="E82" s="17"/>
      <c r="F82" s="18"/>
      <c r="G82" s="18"/>
      <c r="H82" s="17"/>
      <c r="I82" s="17"/>
      <c r="J82" s="17"/>
      <c r="K82" s="18"/>
      <c r="P82"/>
      <c r="Q82"/>
    </row>
    <row r="83" spans="1:17">
      <c r="A83" s="17"/>
      <c r="B83" s="16"/>
      <c r="C83" s="188"/>
      <c r="D83" s="17"/>
      <c r="E83" s="17"/>
      <c r="F83" s="18"/>
      <c r="G83" s="18"/>
      <c r="H83" s="17"/>
      <c r="I83" s="17"/>
      <c r="J83" s="17"/>
      <c r="P83"/>
      <c r="Q83"/>
    </row>
    <row r="84" spans="1:17">
      <c r="A84" s="17"/>
      <c r="B84" s="16"/>
      <c r="C84" s="188"/>
      <c r="D84" s="17"/>
      <c r="E84" s="17"/>
      <c r="F84" s="18"/>
      <c r="G84" s="18"/>
      <c r="H84" s="17"/>
      <c r="I84" s="17"/>
      <c r="J84" s="17"/>
      <c r="P84"/>
      <c r="Q84"/>
    </row>
    <row r="85" spans="1:17">
      <c r="F85" s="68"/>
      <c r="G85" s="18"/>
      <c r="N85"/>
      <c r="O85"/>
      <c r="P85"/>
      <c r="Q85"/>
    </row>
    <row r="86" spans="1:17">
      <c r="F86" s="206"/>
      <c r="N86"/>
      <c r="O86"/>
      <c r="P86"/>
      <c r="Q86"/>
    </row>
    <row r="87" spans="1:17">
      <c r="B87"/>
      <c r="N87"/>
      <c r="O87"/>
      <c r="P87"/>
      <c r="Q87"/>
    </row>
    <row r="88" spans="1:17">
      <c r="B88"/>
      <c r="N88"/>
      <c r="O88"/>
      <c r="P88"/>
      <c r="Q88"/>
    </row>
    <row r="89" spans="1:17">
      <c r="B89"/>
      <c r="N89"/>
      <c r="O89"/>
      <c r="P89"/>
      <c r="Q89"/>
    </row>
    <row r="90" spans="1:17">
      <c r="B90"/>
      <c r="N90"/>
      <c r="O90"/>
      <c r="P90"/>
      <c r="Q90"/>
    </row>
    <row r="91" spans="1:17">
      <c r="B91"/>
      <c r="N91"/>
      <c r="O91"/>
      <c r="P91"/>
      <c r="Q91"/>
    </row>
    <row r="92" spans="1:17">
      <c r="B92"/>
      <c r="N92"/>
      <c r="O92"/>
      <c r="P92"/>
      <c r="Q92"/>
    </row>
    <row r="93" spans="1:17">
      <c r="B93"/>
      <c r="N93"/>
      <c r="O93"/>
      <c r="P93"/>
      <c r="Q93"/>
    </row>
    <row r="94" spans="1:17">
      <c r="B94"/>
      <c r="N94"/>
      <c r="O94"/>
      <c r="P94"/>
      <c r="Q94"/>
    </row>
    <row r="95" spans="1:17">
      <c r="B95"/>
      <c r="N95"/>
      <c r="O95"/>
      <c r="P95"/>
      <c r="Q95"/>
    </row>
    <row r="96" spans="1:17">
      <c r="B96"/>
      <c r="N96"/>
      <c r="O96"/>
      <c r="P96"/>
      <c r="Q96"/>
    </row>
    <row r="97" spans="2:17">
      <c r="B97"/>
      <c r="N97"/>
      <c r="O97"/>
      <c r="P97"/>
      <c r="Q97"/>
    </row>
    <row r="98" spans="2:17">
      <c r="B98"/>
      <c r="N98"/>
      <c r="O98"/>
      <c r="P98"/>
      <c r="Q98"/>
    </row>
    <row r="99" spans="2:17">
      <c r="B99"/>
      <c r="N99"/>
      <c r="O99"/>
      <c r="P99"/>
      <c r="Q99"/>
    </row>
    <row r="100" spans="2:17">
      <c r="B100"/>
      <c r="N100"/>
      <c r="O100"/>
      <c r="P100"/>
      <c r="Q100"/>
    </row>
    <row r="101" spans="2:17">
      <c r="B101"/>
      <c r="F101"/>
      <c r="G101"/>
      <c r="K101" s="235"/>
      <c r="N101"/>
      <c r="O101"/>
      <c r="P101"/>
      <c r="Q101"/>
    </row>
    <row r="102" spans="2:17">
      <c r="B102"/>
      <c r="F102"/>
      <c r="G102"/>
      <c r="K102" s="235"/>
      <c r="N102"/>
      <c r="O102"/>
      <c r="P102"/>
      <c r="Q102"/>
    </row>
    <row r="103" spans="2:17">
      <c r="B103"/>
      <c r="F103"/>
      <c r="G103"/>
      <c r="K103" s="235"/>
      <c r="N103"/>
      <c r="O103"/>
      <c r="P103"/>
      <c r="Q103"/>
    </row>
    <row r="104" spans="2:17">
      <c r="B104"/>
      <c r="F104"/>
      <c r="G104"/>
      <c r="K104" s="235"/>
      <c r="N104"/>
      <c r="O104"/>
      <c r="P104"/>
      <c r="Q104"/>
    </row>
    <row r="105" spans="2:17">
      <c r="B105"/>
      <c r="F105"/>
      <c r="G105"/>
      <c r="K105" s="235"/>
      <c r="N105"/>
      <c r="O105"/>
      <c r="P105"/>
      <c r="Q105"/>
    </row>
  </sheetData>
  <sheetProtection password="A5F4" sheet="1" objects="1" scenarios="1" selectLockedCells="1"/>
  <mergeCells count="8">
    <mergeCell ref="B81:C81"/>
    <mergeCell ref="D8:J8"/>
    <mergeCell ref="B15:J15"/>
    <mergeCell ref="A18:A19"/>
    <mergeCell ref="B18:B19"/>
    <mergeCell ref="D18:E18"/>
    <mergeCell ref="H18:H19"/>
    <mergeCell ref="I18:I19"/>
  </mergeCells>
  <hyperlinks>
    <hyperlink ref="B81" location="sommaire!A1" display="RETOUR AU SOMMAIRE"/>
    <hyperlink ref="C81"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6"/>
  <sheetViews>
    <sheetView topLeftCell="A10" workbookViewId="0">
      <selection activeCell="D5" sqref="D5"/>
    </sheetView>
  </sheetViews>
  <sheetFormatPr baseColWidth="10" defaultRowHeight="15" x14ac:dyDescent="0"/>
  <cols>
    <col min="1" max="1" width="6.33203125" customWidth="1"/>
    <col min="2" max="2" width="24.8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742</v>
      </c>
      <c r="B1" s="120"/>
      <c r="C1" s="187"/>
      <c r="D1" s="121"/>
      <c r="E1" s="121"/>
      <c r="F1" s="122"/>
      <c r="G1" s="122"/>
      <c r="H1" s="122"/>
      <c r="I1" s="123" t="s">
        <v>101</v>
      </c>
      <c r="J1" s="183" t="s">
        <v>675</v>
      </c>
      <c r="N1"/>
      <c r="O1"/>
      <c r="P1"/>
      <c r="Q1"/>
    </row>
    <row r="2" spans="1:17">
      <c r="A2" s="17"/>
      <c r="B2" s="16" t="s">
        <v>12</v>
      </c>
      <c r="C2" s="188"/>
      <c r="D2" s="17"/>
      <c r="E2" s="17"/>
      <c r="F2" s="18"/>
      <c r="G2" s="18"/>
      <c r="H2" s="17"/>
      <c r="I2" s="17"/>
      <c r="J2" s="17"/>
      <c r="N2"/>
      <c r="O2"/>
      <c r="P2"/>
      <c r="Q2"/>
    </row>
    <row r="3" spans="1:17">
      <c r="A3" s="16" t="s">
        <v>19</v>
      </c>
      <c r="B3" s="16"/>
      <c r="C3" s="188"/>
      <c r="D3" s="15">
        <f>ROUND(F79,0)</f>
        <v>2000</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300</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D3+E77-D11</f>
        <v>300</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05"/>
      <c r="D18" s="481" t="s">
        <v>7</v>
      </c>
      <c r="E18" s="482"/>
      <c r="F18" s="18"/>
      <c r="G18" s="43"/>
      <c r="H18" s="487" t="str">
        <f>A18</f>
        <v>g/cl</v>
      </c>
      <c r="I18" s="489" t="str">
        <f>B18</f>
        <v>Ingrédients</v>
      </c>
      <c r="J18" s="70" t="s">
        <v>7</v>
      </c>
      <c r="M18" s="411">
        <f>100-(D12/((D11+D12)/100))</f>
        <v>85</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243</v>
      </c>
      <c r="B21" s="16"/>
      <c r="C21" s="209"/>
      <c r="D21" s="17"/>
      <c r="E21" s="17"/>
      <c r="F21" s="18"/>
      <c r="G21" s="43"/>
      <c r="H21" s="17"/>
      <c r="I21" s="17"/>
      <c r="J21" s="17"/>
      <c r="L21" s="154"/>
      <c r="P21"/>
      <c r="Q21"/>
    </row>
    <row r="22" spans="1:17">
      <c r="A22" s="438">
        <v>60</v>
      </c>
      <c r="B22" s="2" t="s">
        <v>134</v>
      </c>
      <c r="C22" s="185" t="s">
        <v>676</v>
      </c>
      <c r="D22" s="51">
        <v>134</v>
      </c>
      <c r="E22" s="49">
        <f t="shared" ref="E22:E28" si="0">D22/100*A22</f>
        <v>80.400000000000006</v>
      </c>
      <c r="F22" s="18"/>
      <c r="G22" s="43"/>
      <c r="H22" s="55">
        <f t="shared" ref="H22:H28" si="1">IF(E22=0,A22,A22/E22*J22)</f>
        <v>51</v>
      </c>
      <c r="I22" s="2" t="str">
        <f t="shared" ref="I22:I28" si="2">B22</f>
        <v>œuf à la coque</v>
      </c>
      <c r="J22" s="49">
        <f>E22*$M$18%</f>
        <v>68.34</v>
      </c>
      <c r="M22" s="411"/>
      <c r="Q22"/>
    </row>
    <row r="23" spans="1:17">
      <c r="A23" s="438">
        <v>0.5</v>
      </c>
      <c r="B23" s="2" t="s">
        <v>109</v>
      </c>
      <c r="C23" s="197" t="s">
        <v>674</v>
      </c>
      <c r="D23" s="51">
        <v>0</v>
      </c>
      <c r="E23" s="49">
        <f t="shared" si="0"/>
        <v>0</v>
      </c>
      <c r="F23" s="18"/>
      <c r="G23" s="43"/>
      <c r="H23" s="55">
        <f t="shared" si="1"/>
        <v>0.5</v>
      </c>
      <c r="I23" s="2" t="str">
        <f t="shared" si="2"/>
        <v>sel</v>
      </c>
      <c r="J23" s="49">
        <f t="shared" ref="J23:J28" si="3">E23*$M$18%</f>
        <v>0</v>
      </c>
      <c r="Q23"/>
    </row>
    <row r="24" spans="1:17">
      <c r="A24" s="438">
        <v>40</v>
      </c>
      <c r="B24" s="2" t="s">
        <v>102</v>
      </c>
      <c r="C24" s="196" t="s">
        <v>673</v>
      </c>
      <c r="D24" s="51">
        <v>229</v>
      </c>
      <c r="E24" s="49">
        <f t="shared" si="0"/>
        <v>91.6</v>
      </c>
      <c r="F24" s="18"/>
      <c r="G24" s="43"/>
      <c r="H24" s="55">
        <f t="shared" si="1"/>
        <v>34</v>
      </c>
      <c r="I24" s="2" t="str">
        <f t="shared" si="2"/>
        <v>pain complet</v>
      </c>
      <c r="J24" s="49">
        <f t="shared" si="3"/>
        <v>77.86</v>
      </c>
      <c r="O24" s="45"/>
      <c r="Q24"/>
    </row>
    <row r="25" spans="1:17">
      <c r="A25" s="438">
        <v>125</v>
      </c>
      <c r="B25" s="2" t="s">
        <v>137</v>
      </c>
      <c r="C25" s="185" t="s">
        <v>676</v>
      </c>
      <c r="D25" s="51">
        <v>71</v>
      </c>
      <c r="E25" s="49">
        <f t="shared" si="0"/>
        <v>88.75</v>
      </c>
      <c r="F25" s="18"/>
      <c r="G25" s="43"/>
      <c r="H25" s="55">
        <f t="shared" si="1"/>
        <v>106.24999999999999</v>
      </c>
      <c r="I25" s="2" t="str">
        <f t="shared" si="2"/>
        <v>fromage blanc 20%</v>
      </c>
      <c r="J25" s="49">
        <f t="shared" si="3"/>
        <v>75.4375</v>
      </c>
      <c r="O25" s="45"/>
      <c r="Q25"/>
    </row>
    <row r="26" spans="1:17">
      <c r="A26" s="438">
        <v>100</v>
      </c>
      <c r="B26" s="2" t="s">
        <v>136</v>
      </c>
      <c r="C26" s="199" t="s">
        <v>675</v>
      </c>
      <c r="D26" s="51">
        <v>67</v>
      </c>
      <c r="E26" s="49">
        <f t="shared" si="0"/>
        <v>67</v>
      </c>
      <c r="F26" s="18"/>
      <c r="G26" s="43"/>
      <c r="H26" s="55">
        <f t="shared" si="1"/>
        <v>85</v>
      </c>
      <c r="I26" s="2" t="str">
        <f t="shared" si="2"/>
        <v>salade de fruits frais</v>
      </c>
      <c r="J26" s="49">
        <f t="shared" si="3"/>
        <v>56.949999999999996</v>
      </c>
      <c r="O26" s="45"/>
      <c r="Q26"/>
    </row>
    <row r="27" spans="1:17">
      <c r="A27" s="438">
        <v>150</v>
      </c>
      <c r="B27" s="2" t="s">
        <v>135</v>
      </c>
      <c r="C27" s="203"/>
      <c r="D27" s="51">
        <v>0</v>
      </c>
      <c r="E27" s="49">
        <f t="shared" si="0"/>
        <v>0</v>
      </c>
      <c r="F27" s="18"/>
      <c r="G27" s="43"/>
      <c r="H27" s="55">
        <f t="shared" si="1"/>
        <v>150</v>
      </c>
      <c r="I27" s="2" t="str">
        <f t="shared" si="2"/>
        <v>thé</v>
      </c>
      <c r="J27" s="49">
        <f t="shared" si="3"/>
        <v>0</v>
      </c>
      <c r="O27" s="45"/>
      <c r="Q27"/>
    </row>
    <row r="28" spans="1:17">
      <c r="A28" s="438">
        <v>12</v>
      </c>
      <c r="B28" s="2" t="s">
        <v>2</v>
      </c>
      <c r="C28" s="197" t="s">
        <v>674</v>
      </c>
      <c r="D28" s="51">
        <v>400</v>
      </c>
      <c r="E28" s="49">
        <f t="shared" si="0"/>
        <v>48</v>
      </c>
      <c r="F28" s="18"/>
      <c r="G28" s="43"/>
      <c r="H28" s="55">
        <f t="shared" si="1"/>
        <v>10.199999999999999</v>
      </c>
      <c r="I28" s="2" t="str">
        <f t="shared" si="2"/>
        <v>sucre</v>
      </c>
      <c r="J28" s="49">
        <f t="shared" si="3"/>
        <v>40.799999999999997</v>
      </c>
      <c r="O28" s="45"/>
      <c r="Q28"/>
    </row>
    <row r="29" spans="1:17">
      <c r="A29" s="42"/>
      <c r="B29" s="131"/>
      <c r="C29" s="200"/>
      <c r="E29" s="130" t="s">
        <v>6</v>
      </c>
      <c r="F29" s="135">
        <f>SUM(E22:E28)</f>
        <v>375.75</v>
      </c>
      <c r="G29" s="128"/>
      <c r="H29" s="42"/>
      <c r="I29" s="131"/>
      <c r="J29" s="130" t="s">
        <v>6</v>
      </c>
      <c r="K29" s="336">
        <f>SUM(J22:J28)</f>
        <v>319.38749999999999</v>
      </c>
      <c r="O29" s="45"/>
      <c r="Q29"/>
    </row>
    <row r="30" spans="1:17">
      <c r="A30" s="216" t="s">
        <v>225</v>
      </c>
      <c r="B30" s="16"/>
      <c r="C30" s="209"/>
      <c r="D30" s="17"/>
      <c r="E30" s="17"/>
      <c r="F30" s="18"/>
      <c r="G30" s="43"/>
      <c r="H30" s="17"/>
      <c r="I30" s="17"/>
      <c r="J30" s="17"/>
      <c r="L30" s="154"/>
      <c r="P30"/>
      <c r="Q30"/>
    </row>
    <row r="31" spans="1:17">
      <c r="A31" s="66" t="s">
        <v>444</v>
      </c>
      <c r="B31" s="257"/>
      <c r="C31" s="257"/>
      <c r="D31" s="257"/>
      <c r="E31" s="257"/>
      <c r="F31" s="257"/>
      <c r="G31" s="257"/>
      <c r="H31" s="257"/>
      <c r="I31" s="257"/>
      <c r="J31" s="258"/>
      <c r="L31" s="154"/>
      <c r="O31" s="45"/>
      <c r="Q31"/>
    </row>
    <row r="32" spans="1:17">
      <c r="A32" s="439">
        <v>250</v>
      </c>
      <c r="B32" s="2" t="s">
        <v>455</v>
      </c>
      <c r="C32" s="273" t="s">
        <v>676</v>
      </c>
      <c r="D32" s="253">
        <v>6</v>
      </c>
      <c r="E32" s="254">
        <f t="shared" ref="E32:E42" si="4">D32/100*A32</f>
        <v>15</v>
      </c>
      <c r="F32" s="18"/>
      <c r="G32" s="43"/>
      <c r="H32" s="255">
        <f t="shared" ref="H32:H42" si="5">IF(E32=0,A32,A32/E32*J32)</f>
        <v>212.50000000000003</v>
      </c>
      <c r="I32" s="251" t="str">
        <f t="shared" ref="I32:I44" si="6">B32</f>
        <v>bouillon de volaille</v>
      </c>
      <c r="J32" s="254">
        <f t="shared" ref="J32:J44" si="7">E32*$M$18%</f>
        <v>12.75</v>
      </c>
      <c r="O32" s="45"/>
      <c r="Q32"/>
    </row>
    <row r="33" spans="1:17">
      <c r="A33" s="439">
        <v>30</v>
      </c>
      <c r="B33" s="2" t="s">
        <v>175</v>
      </c>
      <c r="C33" s="273" t="s">
        <v>676</v>
      </c>
      <c r="D33" s="253">
        <v>29</v>
      </c>
      <c r="E33" s="49">
        <f t="shared" si="4"/>
        <v>8.6999999999999993</v>
      </c>
      <c r="F33" s="68"/>
      <c r="G33" s="128"/>
      <c r="H33" s="55">
        <f t="shared" si="5"/>
        <v>25.5</v>
      </c>
      <c r="I33" s="2" t="str">
        <f t="shared" si="6"/>
        <v>oignons</v>
      </c>
      <c r="J33" s="49">
        <f t="shared" si="7"/>
        <v>7.3949999999999996</v>
      </c>
      <c r="O33" s="45"/>
      <c r="Q33"/>
    </row>
    <row r="34" spans="1:17">
      <c r="A34" s="439">
        <v>75</v>
      </c>
      <c r="B34" s="2" t="s">
        <v>454</v>
      </c>
      <c r="C34" s="196" t="s">
        <v>673</v>
      </c>
      <c r="D34" s="253">
        <v>349</v>
      </c>
      <c r="E34" s="49">
        <f t="shared" si="4"/>
        <v>261.75</v>
      </c>
      <c r="F34" s="68"/>
      <c r="G34" s="128"/>
      <c r="H34" s="55">
        <f t="shared" si="5"/>
        <v>63.749999999999993</v>
      </c>
      <c r="I34" s="2" t="str">
        <f t="shared" si="6"/>
        <v xml:space="preserve"> riz</v>
      </c>
      <c r="J34" s="49">
        <f t="shared" si="7"/>
        <v>222.48749999999998</v>
      </c>
      <c r="O34" s="45"/>
      <c r="Q34"/>
    </row>
    <row r="35" spans="1:17">
      <c r="A35" s="439">
        <v>100</v>
      </c>
      <c r="B35" s="2" t="s">
        <v>453</v>
      </c>
      <c r="C35" s="273" t="s">
        <v>676</v>
      </c>
      <c r="D35" s="253">
        <v>17</v>
      </c>
      <c r="E35" s="49">
        <f t="shared" si="4"/>
        <v>17</v>
      </c>
      <c r="F35" s="68"/>
      <c r="G35" s="128"/>
      <c r="H35" s="55">
        <f t="shared" si="5"/>
        <v>85</v>
      </c>
      <c r="I35" s="2" t="str">
        <f t="shared" si="6"/>
        <v xml:space="preserve"> cœur de céleri-branche</v>
      </c>
      <c r="J35" s="49">
        <f t="shared" si="7"/>
        <v>14.45</v>
      </c>
      <c r="O35" s="45"/>
      <c r="Q35"/>
    </row>
    <row r="36" spans="1:17">
      <c r="A36" s="439">
        <f>150/4</f>
        <v>37.5</v>
      </c>
      <c r="B36" s="2" t="s">
        <v>452</v>
      </c>
      <c r="C36" s="273" t="s">
        <v>676</v>
      </c>
      <c r="D36" s="253">
        <v>20</v>
      </c>
      <c r="E36" s="49">
        <f t="shared" si="4"/>
        <v>7.5</v>
      </c>
      <c r="F36" s="68"/>
      <c r="G36" s="128"/>
      <c r="H36" s="55">
        <f t="shared" si="5"/>
        <v>31.875</v>
      </c>
      <c r="I36" s="2" t="str">
        <f t="shared" si="6"/>
        <v>poivron vert</v>
      </c>
      <c r="J36" s="49">
        <f t="shared" si="7"/>
        <v>6.375</v>
      </c>
      <c r="O36" s="45"/>
      <c r="Q36"/>
    </row>
    <row r="37" spans="1:17">
      <c r="A37" s="439">
        <f>540/8</f>
        <v>67.5</v>
      </c>
      <c r="B37" s="2" t="s">
        <v>451</v>
      </c>
      <c r="C37" s="273" t="s">
        <v>676</v>
      </c>
      <c r="D37" s="253">
        <v>37</v>
      </c>
      <c r="E37" s="49">
        <f t="shared" si="4"/>
        <v>24.975000000000001</v>
      </c>
      <c r="F37" s="68"/>
      <c r="G37" s="128"/>
      <c r="H37" s="55">
        <f t="shared" si="5"/>
        <v>57.375</v>
      </c>
      <c r="I37" s="2" t="str">
        <f t="shared" si="6"/>
        <v>melon</v>
      </c>
      <c r="J37" s="49">
        <f t="shared" si="7"/>
        <v>21.228750000000002</v>
      </c>
      <c r="O37" s="45"/>
      <c r="Q37"/>
    </row>
    <row r="38" spans="1:17">
      <c r="A38" s="439">
        <v>6</v>
      </c>
      <c r="B38" s="2" t="s">
        <v>197</v>
      </c>
      <c r="C38" s="196" t="s">
        <v>673</v>
      </c>
      <c r="D38" s="253">
        <v>899</v>
      </c>
      <c r="E38" s="49">
        <f t="shared" si="4"/>
        <v>53.94</v>
      </c>
      <c r="F38" s="68"/>
      <c r="G38" s="128"/>
      <c r="H38" s="55">
        <f t="shared" si="5"/>
        <v>5.0999999999999996</v>
      </c>
      <c r="I38" s="2" t="str">
        <f t="shared" si="6"/>
        <v>huile de colza</v>
      </c>
      <c r="J38" s="49">
        <f t="shared" si="7"/>
        <v>45.848999999999997</v>
      </c>
      <c r="O38" s="45"/>
      <c r="Q38"/>
    </row>
    <row r="39" spans="1:17">
      <c r="A39" s="439">
        <v>6</v>
      </c>
      <c r="B39" s="2" t="s">
        <v>440</v>
      </c>
      <c r="C39" s="199" t="s">
        <v>675</v>
      </c>
      <c r="D39" s="253">
        <v>22</v>
      </c>
      <c r="E39" s="49">
        <f t="shared" si="4"/>
        <v>1.32</v>
      </c>
      <c r="F39" s="68"/>
      <c r="G39" s="128"/>
      <c r="H39" s="55">
        <f t="shared" si="5"/>
        <v>5.0999999999999996</v>
      </c>
      <c r="I39" s="2" t="str">
        <f t="shared" si="6"/>
        <v>vinaigre</v>
      </c>
      <c r="J39" s="49">
        <f t="shared" si="7"/>
        <v>1.1220000000000001</v>
      </c>
      <c r="O39" s="45"/>
      <c r="Q39"/>
    </row>
    <row r="40" spans="1:17">
      <c r="A40" s="439">
        <v>75</v>
      </c>
      <c r="B40" s="2" t="s">
        <v>450</v>
      </c>
      <c r="C40" s="197" t="s">
        <v>674</v>
      </c>
      <c r="D40" s="253">
        <v>248</v>
      </c>
      <c r="E40" s="49">
        <f t="shared" si="4"/>
        <v>186</v>
      </c>
      <c r="F40" s="68"/>
      <c r="G40" s="128"/>
      <c r="H40" s="55">
        <f t="shared" si="5"/>
        <v>63.749999999999993</v>
      </c>
      <c r="I40" s="2" t="str">
        <f t="shared" si="6"/>
        <v>jambon de Parme</v>
      </c>
      <c r="J40" s="49">
        <f t="shared" si="7"/>
        <v>158.1</v>
      </c>
      <c r="O40" s="45"/>
      <c r="Q40"/>
    </row>
    <row r="41" spans="1:17">
      <c r="A41" s="439">
        <v>0.5</v>
      </c>
      <c r="B41" s="2" t="s">
        <v>109</v>
      </c>
      <c r="C41" s="197" t="s">
        <v>674</v>
      </c>
      <c r="D41" s="253">
        <v>0</v>
      </c>
      <c r="E41" s="49">
        <f t="shared" si="4"/>
        <v>0</v>
      </c>
      <c r="F41" s="68"/>
      <c r="G41" s="128"/>
      <c r="H41" s="55">
        <f t="shared" si="5"/>
        <v>0.5</v>
      </c>
      <c r="I41" s="2" t="str">
        <f>B41</f>
        <v>sel</v>
      </c>
      <c r="J41" s="49">
        <f>E41*$M$18%</f>
        <v>0</v>
      </c>
      <c r="O41" s="45"/>
      <c r="P41"/>
      <c r="Q41"/>
    </row>
    <row r="42" spans="1:17">
      <c r="A42" s="439">
        <v>0.25</v>
      </c>
      <c r="B42" s="2" t="s">
        <v>150</v>
      </c>
      <c r="C42" s="199" t="s">
        <v>675</v>
      </c>
      <c r="D42" s="253">
        <v>222</v>
      </c>
      <c r="E42" s="49">
        <f t="shared" si="4"/>
        <v>0.55500000000000005</v>
      </c>
      <c r="F42" s="68"/>
      <c r="G42" s="128"/>
      <c r="H42" s="55">
        <f t="shared" si="5"/>
        <v>0.21249999999999997</v>
      </c>
      <c r="I42" s="2" t="str">
        <f t="shared" si="6"/>
        <v xml:space="preserve">poivre </v>
      </c>
      <c r="J42" s="49">
        <f t="shared" si="7"/>
        <v>0.47175</v>
      </c>
      <c r="O42" s="45"/>
      <c r="Q42"/>
    </row>
    <row r="43" spans="1:17">
      <c r="A43" s="66" t="s">
        <v>127</v>
      </c>
      <c r="B43" s="63"/>
      <c r="C43" s="202"/>
      <c r="D43" s="63"/>
      <c r="E43" s="64"/>
      <c r="F43" s="18"/>
      <c r="G43" s="43"/>
      <c r="H43" s="65"/>
      <c r="I43" s="63"/>
      <c r="J43" s="67"/>
      <c r="O43" s="45"/>
      <c r="Q43"/>
    </row>
    <row r="44" spans="1:17">
      <c r="A44" s="439">
        <v>80</v>
      </c>
      <c r="B44" s="2" t="s">
        <v>445</v>
      </c>
      <c r="C44" s="249" t="s">
        <v>677</v>
      </c>
      <c r="D44" s="51">
        <v>203</v>
      </c>
      <c r="E44" s="49">
        <f>D44/100*A44</f>
        <v>162.39999999999998</v>
      </c>
      <c r="F44" s="18"/>
      <c r="G44" s="43"/>
      <c r="H44" s="55">
        <f>IF(E44=0,A44,A44/E44*J44)</f>
        <v>67.999999999999986</v>
      </c>
      <c r="I44" s="56" t="str">
        <f t="shared" si="6"/>
        <v>2 boules de glace</v>
      </c>
      <c r="J44" s="49">
        <f t="shared" si="7"/>
        <v>138.03999999999996</v>
      </c>
      <c r="K44" s="275"/>
      <c r="O44" s="45"/>
      <c r="P44"/>
      <c r="Q44"/>
    </row>
    <row r="45" spans="1:17">
      <c r="A45" s="42"/>
      <c r="B45" s="131"/>
      <c r="C45" s="200"/>
      <c r="E45" s="130" t="s">
        <v>6</v>
      </c>
      <c r="F45" s="138">
        <f>SUM(E32:E44)</f>
        <v>739.13999999999987</v>
      </c>
      <c r="G45" s="128"/>
      <c r="H45" s="42"/>
      <c r="I45" s="131"/>
      <c r="J45" s="130" t="s">
        <v>6</v>
      </c>
      <c r="K45" s="336">
        <f>SUM(J32:J44)</f>
        <v>628.26900000000001</v>
      </c>
      <c r="O45" s="45"/>
      <c r="Q45"/>
    </row>
    <row r="46" spans="1:17" ht="6" customHeight="1">
      <c r="A46" s="17"/>
      <c r="B46" s="17"/>
      <c r="C46" s="188"/>
      <c r="D46" s="68"/>
      <c r="E46" s="17"/>
      <c r="F46" s="18"/>
      <c r="G46" s="43"/>
      <c r="H46" s="17"/>
      <c r="I46" s="17"/>
      <c r="J46" s="17"/>
      <c r="O46" s="45"/>
      <c r="P46"/>
      <c r="Q46"/>
    </row>
    <row r="47" spans="1:17">
      <c r="A47" s="216" t="s">
        <v>228</v>
      </c>
      <c r="B47" s="16"/>
      <c r="C47" s="209"/>
      <c r="D47" s="17"/>
      <c r="E47" s="17"/>
      <c r="F47" s="18"/>
      <c r="G47" s="43"/>
      <c r="H47" s="17"/>
      <c r="I47" s="17"/>
      <c r="J47" s="17"/>
      <c r="P47"/>
      <c r="Q47"/>
    </row>
    <row r="48" spans="1:17">
      <c r="A48" s="438">
        <v>150</v>
      </c>
      <c r="B48" s="2" t="s">
        <v>4</v>
      </c>
      <c r="C48" s="199" t="s">
        <v>675</v>
      </c>
      <c r="D48" s="51">
        <v>55</v>
      </c>
      <c r="E48" s="49">
        <f>D48/100*A48</f>
        <v>82.5</v>
      </c>
      <c r="F48" s="18"/>
      <c r="G48" s="43"/>
      <c r="H48" s="55">
        <f>IF(E48=0,A48,A48/E48*J48)</f>
        <v>127.5</v>
      </c>
      <c r="I48" s="2" t="str">
        <f>B48</f>
        <v>pomme</v>
      </c>
      <c r="J48" s="49">
        <f>E48*$M$18%</f>
        <v>70.125</v>
      </c>
    </row>
    <row r="49" spans="1:17">
      <c r="A49" s="438">
        <v>10</v>
      </c>
      <c r="B49" s="2" t="s">
        <v>391</v>
      </c>
      <c r="C49" s="197" t="s">
        <v>674</v>
      </c>
      <c r="D49" s="51">
        <v>519</v>
      </c>
      <c r="E49" s="49">
        <f>D49/100*A49</f>
        <v>51.900000000000006</v>
      </c>
      <c r="F49" s="18"/>
      <c r="G49" s="43"/>
      <c r="H49" s="55">
        <f>IF(E49=0,A49,A49/E49*J49)</f>
        <v>8.5</v>
      </c>
      <c r="I49" s="2" t="str">
        <f>B49</f>
        <v>chocolat noir</v>
      </c>
      <c r="J49" s="49">
        <f>E49*$M$18%</f>
        <v>44.115000000000002</v>
      </c>
    </row>
    <row r="50" spans="1:17">
      <c r="A50" s="42"/>
      <c r="B50" s="157"/>
      <c r="C50" s="272"/>
      <c r="E50" s="130" t="s">
        <v>6</v>
      </c>
      <c r="F50" s="135">
        <f>SUM(E48:E49)</f>
        <v>134.4</v>
      </c>
      <c r="G50" s="140"/>
      <c r="H50" s="42"/>
      <c r="I50" s="131"/>
      <c r="J50" s="130" t="s">
        <v>6</v>
      </c>
      <c r="K50" s="336">
        <f>SUM(J48:J49)</f>
        <v>114.24000000000001</v>
      </c>
      <c r="L50" s="154"/>
      <c r="O50" s="45"/>
      <c r="Q50"/>
    </row>
    <row r="51" spans="1:17">
      <c r="A51" s="216" t="s">
        <v>226</v>
      </c>
      <c r="B51" s="16"/>
      <c r="C51" s="209"/>
      <c r="D51" s="17"/>
      <c r="E51" s="17"/>
      <c r="F51" s="18"/>
      <c r="G51" s="43"/>
      <c r="H51" s="17"/>
      <c r="I51" s="17"/>
      <c r="J51" s="17"/>
      <c r="P51"/>
      <c r="Q51"/>
    </row>
    <row r="52" spans="1:17">
      <c r="A52" s="66" t="s">
        <v>443</v>
      </c>
      <c r="B52" s="257"/>
      <c r="C52" s="257"/>
      <c r="D52" s="257"/>
      <c r="E52" s="257"/>
      <c r="F52" s="257"/>
      <c r="G52" s="257"/>
      <c r="H52" s="257"/>
      <c r="I52" s="257"/>
      <c r="J52" s="258"/>
      <c r="O52" s="45"/>
      <c r="Q52"/>
    </row>
    <row r="53" spans="1:17">
      <c r="A53" s="439">
        <v>100</v>
      </c>
      <c r="B53" s="2" t="s">
        <v>446</v>
      </c>
      <c r="C53" s="273" t="s">
        <v>676</v>
      </c>
      <c r="D53" s="253">
        <v>108</v>
      </c>
      <c r="E53" s="49">
        <f t="shared" ref="E53:E66" si="8">D53/100*A53</f>
        <v>108</v>
      </c>
      <c r="F53" s="68"/>
      <c r="G53" s="128"/>
      <c r="H53" s="55">
        <f t="shared" ref="H53:H66" si="9">IF(E53=0,A53,A53/E53*J53)</f>
        <v>85</v>
      </c>
      <c r="I53" s="2" t="str">
        <f t="shared" ref="I53:I66" si="10">B53</f>
        <v xml:space="preserve">blanc de poulet </v>
      </c>
      <c r="J53" s="49">
        <f t="shared" ref="J53:J77" si="11">E53*$M$18%</f>
        <v>91.8</v>
      </c>
      <c r="O53" s="45"/>
      <c r="P53"/>
      <c r="Q53"/>
    </row>
    <row r="54" spans="1:17">
      <c r="A54" s="439">
        <v>4.5</v>
      </c>
      <c r="B54" s="2" t="s">
        <v>0</v>
      </c>
      <c r="C54" s="197" t="s">
        <v>674</v>
      </c>
      <c r="D54" s="253">
        <v>747</v>
      </c>
      <c r="E54" s="49">
        <f t="shared" si="8"/>
        <v>33.615000000000002</v>
      </c>
      <c r="F54" s="68"/>
      <c r="G54" s="128"/>
      <c r="H54" s="55">
        <f t="shared" si="9"/>
        <v>3.8249999999999997</v>
      </c>
      <c r="I54" s="2" t="str">
        <f t="shared" si="10"/>
        <v>beurre</v>
      </c>
      <c r="J54" s="49">
        <f t="shared" si="11"/>
        <v>28.572749999999999</v>
      </c>
      <c r="L54" s="154"/>
      <c r="O54" s="45"/>
      <c r="P54"/>
      <c r="Q54"/>
    </row>
    <row r="55" spans="1:17">
      <c r="A55" s="439">
        <v>15</v>
      </c>
      <c r="B55" s="2" t="s">
        <v>271</v>
      </c>
      <c r="C55" s="273" t="s">
        <v>676</v>
      </c>
      <c r="D55" s="253">
        <v>29</v>
      </c>
      <c r="E55" s="49">
        <f t="shared" si="8"/>
        <v>4.3499999999999996</v>
      </c>
      <c r="F55" s="68"/>
      <c r="G55" s="128"/>
      <c r="H55" s="55">
        <f t="shared" si="9"/>
        <v>12.75</v>
      </c>
      <c r="I55" s="2" t="str">
        <f t="shared" si="10"/>
        <v>oignon</v>
      </c>
      <c r="J55" s="49">
        <f t="shared" si="11"/>
        <v>3.6974999999999998</v>
      </c>
      <c r="L55" s="154"/>
      <c r="O55" s="45"/>
      <c r="P55"/>
      <c r="Q55"/>
    </row>
    <row r="56" spans="1:17">
      <c r="A56" s="439">
        <f>280/4</f>
        <v>70</v>
      </c>
      <c r="B56" s="2" t="s">
        <v>739</v>
      </c>
      <c r="C56" s="273" t="s">
        <v>676</v>
      </c>
      <c r="D56" s="253">
        <v>19</v>
      </c>
      <c r="E56" s="49">
        <f t="shared" si="8"/>
        <v>13.3</v>
      </c>
      <c r="F56" s="68"/>
      <c r="G56" s="128"/>
      <c r="H56" s="55">
        <f t="shared" si="9"/>
        <v>59.499999999999993</v>
      </c>
      <c r="I56" s="2" t="str">
        <f t="shared" si="10"/>
        <v>tomates en boîte</v>
      </c>
      <c r="J56" s="49">
        <f t="shared" si="11"/>
        <v>11.305</v>
      </c>
      <c r="O56" s="45"/>
      <c r="P56"/>
      <c r="Q56"/>
    </row>
    <row r="57" spans="1:17">
      <c r="A57" s="439">
        <v>25</v>
      </c>
      <c r="B57" s="2" t="s">
        <v>355</v>
      </c>
      <c r="C57" s="273" t="s">
        <v>676</v>
      </c>
      <c r="D57" s="253">
        <v>25</v>
      </c>
      <c r="E57" s="49">
        <f t="shared" si="8"/>
        <v>6.25</v>
      </c>
      <c r="F57" s="68"/>
      <c r="G57" s="128"/>
      <c r="H57" s="55">
        <f t="shared" si="9"/>
        <v>21.25</v>
      </c>
      <c r="I57" s="2" t="str">
        <f t="shared" si="10"/>
        <v>champignons de Paris</v>
      </c>
      <c r="J57" s="49">
        <f t="shared" si="11"/>
        <v>5.3125</v>
      </c>
      <c r="O57" s="45"/>
      <c r="P57"/>
      <c r="Q57"/>
    </row>
    <row r="58" spans="1:17">
      <c r="A58" s="439">
        <v>1.5</v>
      </c>
      <c r="B58" s="2" t="s">
        <v>169</v>
      </c>
      <c r="C58" s="273" t="s">
        <v>676</v>
      </c>
      <c r="D58" s="253">
        <v>131</v>
      </c>
      <c r="E58" s="49">
        <f t="shared" si="8"/>
        <v>1.9650000000000001</v>
      </c>
      <c r="F58" s="68"/>
      <c r="G58" s="128"/>
      <c r="H58" s="55">
        <f t="shared" si="9"/>
        <v>1.2749999999999999</v>
      </c>
      <c r="I58" s="2" t="str">
        <f t="shared" si="10"/>
        <v>aïl</v>
      </c>
      <c r="J58" s="49">
        <f t="shared" si="11"/>
        <v>1.67025</v>
      </c>
      <c r="O58" s="45"/>
      <c r="P58"/>
      <c r="Q58"/>
    </row>
    <row r="59" spans="1:17">
      <c r="A59" s="439">
        <v>1</v>
      </c>
      <c r="B59" s="2" t="s">
        <v>109</v>
      </c>
      <c r="C59" s="197" t="s">
        <v>674</v>
      </c>
      <c r="D59" s="253">
        <v>0</v>
      </c>
      <c r="E59" s="49">
        <f t="shared" si="8"/>
        <v>0</v>
      </c>
      <c r="F59" s="68"/>
      <c r="G59" s="128"/>
      <c r="H59" s="55">
        <f t="shared" si="9"/>
        <v>1</v>
      </c>
      <c r="I59" s="2" t="str">
        <f t="shared" si="10"/>
        <v>sel</v>
      </c>
      <c r="J59" s="49">
        <f t="shared" si="11"/>
        <v>0</v>
      </c>
      <c r="O59" s="45"/>
      <c r="P59"/>
      <c r="Q59"/>
    </row>
    <row r="60" spans="1:17">
      <c r="A60" s="439">
        <v>0.5</v>
      </c>
      <c r="B60" s="2" t="s">
        <v>441</v>
      </c>
      <c r="C60" s="199" t="s">
        <v>675</v>
      </c>
      <c r="D60" s="253">
        <v>301</v>
      </c>
      <c r="E60" s="49">
        <f t="shared" si="8"/>
        <v>1.5049999999999999</v>
      </c>
      <c r="F60" s="68"/>
      <c r="G60" s="128"/>
      <c r="H60" s="55">
        <f t="shared" si="9"/>
        <v>0.42499999999999993</v>
      </c>
      <c r="I60" s="2" t="str">
        <f t="shared" si="10"/>
        <v>poivre noir</v>
      </c>
      <c r="J60" s="49">
        <f t="shared" si="11"/>
        <v>1.2792499999999998</v>
      </c>
      <c r="O60" s="45"/>
      <c r="P60"/>
      <c r="Q60"/>
    </row>
    <row r="61" spans="1:17">
      <c r="A61" s="439">
        <v>0.1</v>
      </c>
      <c r="B61" s="2" t="s">
        <v>442</v>
      </c>
      <c r="C61" s="199" t="s">
        <v>675</v>
      </c>
      <c r="D61" s="253">
        <v>235</v>
      </c>
      <c r="E61" s="49">
        <f t="shared" si="8"/>
        <v>0.23500000000000001</v>
      </c>
      <c r="F61" s="68"/>
      <c r="G61" s="128"/>
      <c r="H61" s="55">
        <f t="shared" si="9"/>
        <v>8.5000000000000006E-2</v>
      </c>
      <c r="I61" s="2" t="str">
        <f t="shared" si="10"/>
        <v>origan</v>
      </c>
      <c r="J61" s="49">
        <f t="shared" si="11"/>
        <v>0.19975000000000001</v>
      </c>
      <c r="O61" s="45"/>
      <c r="P61"/>
      <c r="Q61"/>
    </row>
    <row r="62" spans="1:17">
      <c r="A62" s="439">
        <v>25</v>
      </c>
      <c r="B62" s="2" t="s">
        <v>286</v>
      </c>
      <c r="C62" s="197" t="s">
        <v>674</v>
      </c>
      <c r="D62" s="253">
        <v>223</v>
      </c>
      <c r="E62" s="49">
        <f>D62/100*A62</f>
        <v>55.75</v>
      </c>
      <c r="F62" s="68"/>
      <c r="G62" s="128"/>
      <c r="H62" s="55">
        <f>IF(E62=0,A62,A62/E62*J62)</f>
        <v>21.25</v>
      </c>
      <c r="I62" s="2" t="str">
        <f>B62</f>
        <v>crème liquide</v>
      </c>
      <c r="J62" s="49">
        <f>E62*$M$18%</f>
        <v>47.387499999999996</v>
      </c>
      <c r="O62" s="45"/>
      <c r="P62"/>
      <c r="Q62"/>
    </row>
    <row r="63" spans="1:17">
      <c r="A63" s="439">
        <v>25</v>
      </c>
      <c r="B63" s="2" t="s">
        <v>447</v>
      </c>
      <c r="C63" s="249" t="s">
        <v>677</v>
      </c>
      <c r="D63" s="253">
        <v>229</v>
      </c>
      <c r="E63" s="49">
        <f t="shared" si="8"/>
        <v>57.25</v>
      </c>
      <c r="F63" s="68"/>
      <c r="G63" s="128"/>
      <c r="H63" s="55">
        <f t="shared" si="9"/>
        <v>21.25</v>
      </c>
      <c r="I63" s="2" t="str">
        <f t="shared" si="10"/>
        <v>jambon cru</v>
      </c>
      <c r="J63" s="49">
        <f t="shared" si="11"/>
        <v>48.662500000000001</v>
      </c>
      <c r="O63" s="45"/>
      <c r="P63"/>
      <c r="Q63"/>
    </row>
    <row r="64" spans="1:17">
      <c r="A64" s="439">
        <v>3</v>
      </c>
      <c r="B64" s="2" t="s">
        <v>148</v>
      </c>
      <c r="C64" s="306" t="s">
        <v>676</v>
      </c>
      <c r="D64" s="253">
        <v>28</v>
      </c>
      <c r="E64" s="49">
        <f t="shared" si="8"/>
        <v>0.84000000000000008</v>
      </c>
      <c r="F64" s="68"/>
      <c r="G64" s="128"/>
      <c r="H64" s="55">
        <f t="shared" si="9"/>
        <v>2.5500000000000003</v>
      </c>
      <c r="I64" s="2" t="str">
        <f t="shared" si="10"/>
        <v>persil</v>
      </c>
      <c r="J64" s="49">
        <f t="shared" si="11"/>
        <v>0.71400000000000008</v>
      </c>
      <c r="O64" s="45"/>
      <c r="P64"/>
      <c r="Q64"/>
    </row>
    <row r="65" spans="1:17">
      <c r="A65" s="439">
        <v>125</v>
      </c>
      <c r="B65" s="2" t="s">
        <v>448</v>
      </c>
      <c r="C65" s="199" t="s">
        <v>675</v>
      </c>
      <c r="D65" s="253">
        <v>116</v>
      </c>
      <c r="E65" s="49">
        <f t="shared" si="8"/>
        <v>145</v>
      </c>
      <c r="F65" s="68"/>
      <c r="G65" s="128"/>
      <c r="H65" s="55">
        <f t="shared" si="9"/>
        <v>106.25</v>
      </c>
      <c r="I65" s="2" t="str">
        <f t="shared" si="10"/>
        <v>paghetti</v>
      </c>
      <c r="J65" s="49">
        <f t="shared" si="11"/>
        <v>123.25</v>
      </c>
      <c r="O65" s="45"/>
      <c r="P65"/>
      <c r="Q65"/>
    </row>
    <row r="66" spans="1:17">
      <c r="A66" s="439">
        <v>25</v>
      </c>
      <c r="B66" s="2" t="s">
        <v>449</v>
      </c>
      <c r="C66" s="249" t="s">
        <v>677</v>
      </c>
      <c r="D66" s="253">
        <v>417</v>
      </c>
      <c r="E66" s="49">
        <f t="shared" si="8"/>
        <v>104.25</v>
      </c>
      <c r="F66" s="68"/>
      <c r="G66" s="128"/>
      <c r="H66" s="55">
        <f t="shared" si="9"/>
        <v>21.25</v>
      </c>
      <c r="I66" s="2" t="str">
        <f t="shared" si="10"/>
        <v>sbrinz</v>
      </c>
      <c r="J66" s="49">
        <f t="shared" si="11"/>
        <v>88.612499999999997</v>
      </c>
      <c r="O66" s="45"/>
      <c r="P66"/>
      <c r="Q66"/>
    </row>
    <row r="67" spans="1:17">
      <c r="A67" s="42"/>
      <c r="B67" s="131"/>
      <c r="C67" s="201"/>
      <c r="E67" s="130" t="s">
        <v>6</v>
      </c>
      <c r="F67" s="138">
        <f>SUM(E53:E66)</f>
        <v>532.30999999999995</v>
      </c>
      <c r="G67" s="140"/>
      <c r="H67" s="42"/>
      <c r="I67" s="131"/>
      <c r="J67" s="130" t="s">
        <v>6</v>
      </c>
      <c r="K67" s="336">
        <f>SUM(J53:J66)</f>
        <v>452.46350000000001</v>
      </c>
      <c r="L67" s="154"/>
      <c r="O67" s="45"/>
      <c r="Q67"/>
    </row>
    <row r="68" spans="1:17">
      <c r="A68" s="302" t="s">
        <v>368</v>
      </c>
      <c r="B68" s="302"/>
      <c r="C68" s="302"/>
      <c r="D68" s="302"/>
      <c r="E68" s="257"/>
      <c r="F68" s="259"/>
      <c r="G68" s="260"/>
      <c r="H68" s="257"/>
      <c r="I68" s="257"/>
      <c r="J68" s="258"/>
      <c r="L68" s="154"/>
      <c r="O68" s="45"/>
      <c r="Q68"/>
    </row>
    <row r="69" spans="1:17">
      <c r="A69" s="453">
        <v>150</v>
      </c>
      <c r="B69" s="310" t="s">
        <v>365</v>
      </c>
      <c r="C69" s="199" t="s">
        <v>675</v>
      </c>
      <c r="D69" s="291">
        <v>55</v>
      </c>
      <c r="E69" s="49">
        <f t="shared" ref="E69:E75" si="12">D69/100*A69</f>
        <v>82.5</v>
      </c>
      <c r="F69" s="68"/>
      <c r="G69" s="128"/>
      <c r="H69" s="55">
        <f>IF(E69=0,A69,A69/E69*J69)</f>
        <v>127.5</v>
      </c>
      <c r="I69" s="2" t="str">
        <f>B69</f>
        <v>4 pommes</v>
      </c>
      <c r="J69" s="49">
        <f t="shared" si="11"/>
        <v>70.125</v>
      </c>
      <c r="K69" s="241"/>
      <c r="L69" s="154"/>
      <c r="O69" s="45"/>
      <c r="P69"/>
      <c r="Q69"/>
    </row>
    <row r="70" spans="1:17">
      <c r="A70" s="453">
        <v>3.75</v>
      </c>
      <c r="B70" s="311" t="s">
        <v>366</v>
      </c>
      <c r="C70" s="249" t="s">
        <v>677</v>
      </c>
      <c r="D70" s="291">
        <v>698</v>
      </c>
      <c r="E70" s="49">
        <f t="shared" si="12"/>
        <v>26.175000000000001</v>
      </c>
      <c r="F70" s="68"/>
      <c r="G70" s="128"/>
      <c r="H70" s="55">
        <f t="shared" ref="H70:H73" si="13">IF(E70=0,A70,A70/E70*J70)</f>
        <v>3.1875</v>
      </c>
      <c r="I70" s="2" t="str">
        <f t="shared" ref="I70:I73" si="14">B70</f>
        <v>15 g de cerneaux de noix</v>
      </c>
      <c r="J70" s="49">
        <f t="shared" si="11"/>
        <v>22.248750000000001</v>
      </c>
      <c r="K70" s="241"/>
      <c r="L70" s="154"/>
      <c r="O70" s="45"/>
      <c r="P70"/>
      <c r="Q70"/>
    </row>
    <row r="71" spans="1:17">
      <c r="A71" s="453">
        <v>3.75</v>
      </c>
      <c r="B71" s="311" t="s">
        <v>367</v>
      </c>
      <c r="C71" s="196" t="s">
        <v>673</v>
      </c>
      <c r="D71" s="291">
        <v>646</v>
      </c>
      <c r="E71" s="49">
        <f t="shared" si="12"/>
        <v>24.225000000000001</v>
      </c>
      <c r="F71" s="68"/>
      <c r="G71" s="128"/>
      <c r="H71" s="55">
        <f t="shared" si="13"/>
        <v>3.1875</v>
      </c>
      <c r="I71" s="2" t="str">
        <f t="shared" si="14"/>
        <v>15 g de noisettes</v>
      </c>
      <c r="J71" s="49">
        <f t="shared" si="11"/>
        <v>20.591250000000002</v>
      </c>
      <c r="K71" s="241"/>
      <c r="L71" s="154"/>
      <c r="O71" s="45"/>
      <c r="P71"/>
      <c r="Q71"/>
    </row>
    <row r="72" spans="1:17">
      <c r="A72" s="453">
        <v>12</v>
      </c>
      <c r="B72" s="311" t="s">
        <v>207</v>
      </c>
      <c r="C72" s="196" t="s">
        <v>673</v>
      </c>
      <c r="D72" s="291">
        <v>306</v>
      </c>
      <c r="E72" s="49">
        <f t="shared" si="12"/>
        <v>36.72</v>
      </c>
      <c r="F72" s="68"/>
      <c r="G72" s="128"/>
      <c r="H72" s="55">
        <f t="shared" si="13"/>
        <v>10.199999999999999</v>
      </c>
      <c r="I72" s="2" t="str">
        <f t="shared" si="14"/>
        <v>miel</v>
      </c>
      <c r="J72" s="49">
        <f t="shared" si="11"/>
        <v>31.212</v>
      </c>
      <c r="K72" s="241"/>
      <c r="L72" s="154"/>
      <c r="O72" s="45"/>
      <c r="P72"/>
      <c r="Q72"/>
    </row>
    <row r="73" spans="1:17">
      <c r="A73" s="453">
        <v>0.5</v>
      </c>
      <c r="B73" s="311" t="s">
        <v>369</v>
      </c>
      <c r="C73" s="303"/>
      <c r="D73" s="291"/>
      <c r="E73" s="49">
        <f t="shared" si="12"/>
        <v>0</v>
      </c>
      <c r="F73" s="68"/>
      <c r="G73" s="128"/>
      <c r="H73" s="55">
        <f t="shared" si="13"/>
        <v>0.5</v>
      </c>
      <c r="I73" s="2" t="str">
        <f t="shared" si="14"/>
        <v>cannelle en poudre</v>
      </c>
      <c r="J73" s="49">
        <f t="shared" si="11"/>
        <v>0</v>
      </c>
      <c r="K73" s="241"/>
      <c r="L73" s="154"/>
      <c r="O73" s="45"/>
      <c r="P73"/>
      <c r="Q73"/>
    </row>
    <row r="74" spans="1:17">
      <c r="A74" s="453">
        <v>5</v>
      </c>
      <c r="B74" s="311" t="s">
        <v>370</v>
      </c>
      <c r="C74" s="197" t="s">
        <v>674</v>
      </c>
      <c r="D74" s="291">
        <v>747</v>
      </c>
      <c r="E74" s="49">
        <f t="shared" si="12"/>
        <v>37.35</v>
      </c>
      <c r="F74" s="68"/>
      <c r="G74" s="128"/>
      <c r="H74" s="55">
        <f>IF(E74=0,A74,A74/E74*J74)</f>
        <v>4.25</v>
      </c>
      <c r="I74" s="2" t="str">
        <f>B74</f>
        <v>20 g de beurre</v>
      </c>
      <c r="J74" s="49">
        <f>E74*$M$18%</f>
        <v>31.747499999999999</v>
      </c>
      <c r="K74" s="241"/>
      <c r="O74" s="45"/>
      <c r="P74"/>
      <c r="Q74"/>
    </row>
    <row r="75" spans="1:17">
      <c r="A75" s="453">
        <v>3.75</v>
      </c>
      <c r="B75" s="311" t="s">
        <v>371</v>
      </c>
      <c r="C75" s="197" t="s">
        <v>674</v>
      </c>
      <c r="D75" s="291">
        <v>298</v>
      </c>
      <c r="E75" s="49">
        <f t="shared" si="12"/>
        <v>11.175000000000001</v>
      </c>
      <c r="F75" s="68"/>
      <c r="G75" s="128"/>
      <c r="H75" s="55">
        <f>IF(E75=0,A75,A75/E75*J75)</f>
        <v>3.1875</v>
      </c>
      <c r="I75" s="2" t="str">
        <f>B75</f>
        <v>15 g de raisins secs sultanine</v>
      </c>
      <c r="J75" s="49">
        <f t="shared" si="11"/>
        <v>9.4987500000000011</v>
      </c>
      <c r="K75" s="241"/>
      <c r="O75" s="45"/>
      <c r="P75"/>
      <c r="Q75"/>
    </row>
    <row r="76" spans="1:17">
      <c r="A76" s="42"/>
      <c r="B76" s="131"/>
      <c r="C76" s="201"/>
      <c r="E76" s="143" t="s">
        <v>6</v>
      </c>
      <c r="F76" s="175">
        <f>SUM(E69:E75)</f>
        <v>218.14500000000001</v>
      </c>
      <c r="G76" s="25"/>
      <c r="H76" s="42"/>
      <c r="I76" s="131"/>
      <c r="J76" s="143" t="s">
        <v>6</v>
      </c>
      <c r="K76" s="336">
        <f>SUM(J69:J75)</f>
        <v>185.42325</v>
      </c>
      <c r="O76" s="45"/>
      <c r="Q76"/>
    </row>
    <row r="77" spans="1:17">
      <c r="A77" s="54">
        <f>IF(D5="non",0,IF(D5="1 verre",125,250))</f>
        <v>0</v>
      </c>
      <c r="B77" s="2" t="str">
        <f>IF(A77=0,"","vin")</f>
        <v/>
      </c>
      <c r="C77" s="203"/>
      <c r="D77" s="51">
        <v>80</v>
      </c>
      <c r="E77" s="49">
        <f>D77/100*A77</f>
        <v>0</v>
      </c>
      <c r="G77" s="142"/>
      <c r="H77" s="55">
        <f>IF(E77=0,A77,A77/E77*J77)</f>
        <v>0</v>
      </c>
      <c r="I77" s="2" t="str">
        <f>B77</f>
        <v/>
      </c>
      <c r="J77" s="49">
        <f t="shared" si="11"/>
        <v>0</v>
      </c>
      <c r="K77" s="335"/>
      <c r="O77" s="45"/>
      <c r="P77"/>
      <c r="Q77"/>
    </row>
    <row r="78" spans="1:17" ht="6" customHeight="1">
      <c r="A78" s="17"/>
      <c r="B78" s="17"/>
      <c r="C78" s="188"/>
      <c r="D78" s="68"/>
      <c r="E78" s="17"/>
      <c r="F78" s="18"/>
      <c r="G78" s="204"/>
      <c r="H78" s="17"/>
      <c r="I78" s="17"/>
      <c r="J78" s="17"/>
      <c r="K78" s="335"/>
      <c r="P78"/>
      <c r="Q78"/>
    </row>
    <row r="79" spans="1:17">
      <c r="A79" s="17"/>
      <c r="B79" s="17"/>
      <c r="C79" s="188"/>
      <c r="D79" s="69" t="s">
        <v>129</v>
      </c>
      <c r="F79" s="297">
        <f>SUM(F22:F77)</f>
        <v>1999.7449999999999</v>
      </c>
      <c r="G79" s="204"/>
      <c r="H79" s="17"/>
      <c r="I79" s="69" t="s">
        <v>129</v>
      </c>
      <c r="K79" s="337">
        <f>SUM(K22:K77)</f>
        <v>1699.7832500000002</v>
      </c>
      <c r="P79"/>
      <c r="Q79"/>
    </row>
    <row r="80" spans="1:17">
      <c r="A80" s="17"/>
      <c r="B80" s="17"/>
      <c r="C80" s="188"/>
      <c r="D80" s="18" t="s">
        <v>130</v>
      </c>
      <c r="E80" s="25"/>
      <c r="F80" s="144">
        <f>F79+E77</f>
        <v>1999.7449999999999</v>
      </c>
      <c r="G80" s="43"/>
      <c r="H80" s="42"/>
      <c r="I80" s="18" t="s">
        <v>130</v>
      </c>
      <c r="J80" s="25"/>
      <c r="K80" s="336">
        <f>K79+J77</f>
        <v>1699.7832500000002</v>
      </c>
      <c r="P80"/>
      <c r="Q80"/>
    </row>
    <row r="81" spans="1:17">
      <c r="A81" s="17"/>
      <c r="B81" s="16"/>
      <c r="C81" s="188"/>
      <c r="D81" s="17"/>
      <c r="E81" s="17"/>
      <c r="F81" s="205"/>
      <c r="G81" s="43"/>
      <c r="H81" s="17"/>
      <c r="I81" s="17"/>
      <c r="J81" s="17"/>
      <c r="P81"/>
      <c r="Q81"/>
    </row>
    <row r="82" spans="1:17" ht="19">
      <c r="A82" s="118" t="s">
        <v>100</v>
      </c>
      <c r="B82" s="491" t="s">
        <v>99</v>
      </c>
      <c r="C82" s="491"/>
      <c r="D82" s="17"/>
      <c r="E82" s="17"/>
      <c r="F82" s="18"/>
      <c r="G82" s="18"/>
      <c r="H82" s="17"/>
      <c r="I82" s="17"/>
      <c r="J82" s="17"/>
      <c r="P82"/>
      <c r="Q82"/>
    </row>
    <row r="83" spans="1:17" ht="409" customHeight="1">
      <c r="A83" s="17"/>
      <c r="B83" s="16"/>
      <c r="C83" s="228"/>
      <c r="D83" s="17"/>
      <c r="E83" s="17"/>
      <c r="F83" s="18"/>
      <c r="G83" s="18"/>
      <c r="H83" s="17"/>
      <c r="I83" s="17"/>
      <c r="J83" s="17"/>
      <c r="K83" s="18"/>
      <c r="P83"/>
      <c r="Q83"/>
    </row>
    <row r="84" spans="1:17">
      <c r="A84" s="17"/>
      <c r="B84" s="16"/>
      <c r="C84" s="188"/>
      <c r="D84" s="17"/>
      <c r="E84" s="17"/>
      <c r="F84" s="18"/>
      <c r="G84" s="18"/>
      <c r="H84" s="17"/>
      <c r="I84" s="17"/>
      <c r="J84" s="17"/>
      <c r="P84"/>
      <c r="Q84"/>
    </row>
    <row r="85" spans="1:17">
      <c r="A85" s="17"/>
      <c r="B85" s="16"/>
      <c r="C85" s="188"/>
      <c r="D85" s="17"/>
      <c r="E85" s="17"/>
      <c r="F85" s="18"/>
      <c r="G85" s="18"/>
      <c r="H85" s="17"/>
      <c r="I85" s="17"/>
      <c r="J85" s="17"/>
      <c r="P85"/>
      <c r="Q85"/>
    </row>
    <row r="86" spans="1:17">
      <c r="F86" s="18"/>
      <c r="G86" s="18"/>
      <c r="N86"/>
      <c r="O86"/>
      <c r="P86"/>
      <c r="Q86"/>
    </row>
    <row r="87" spans="1:17">
      <c r="F87" s="206"/>
      <c r="N87"/>
      <c r="O87"/>
      <c r="P87"/>
      <c r="Q87"/>
    </row>
    <row r="88" spans="1:17">
      <c r="B88"/>
      <c r="C88"/>
      <c r="N88"/>
      <c r="O88"/>
      <c r="P88"/>
      <c r="Q88"/>
    </row>
    <row r="89" spans="1:17">
      <c r="B89"/>
      <c r="C89"/>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N100"/>
      <c r="O100"/>
      <c r="P100"/>
      <c r="Q100"/>
    </row>
    <row r="101" spans="2:17">
      <c r="B101"/>
      <c r="C101"/>
      <c r="N101"/>
      <c r="O101"/>
      <c r="P101"/>
      <c r="Q101"/>
    </row>
    <row r="102" spans="2:17">
      <c r="B102"/>
      <c r="C102"/>
      <c r="F102"/>
      <c r="G102"/>
      <c r="K102" s="235"/>
      <c r="N102"/>
      <c r="O102"/>
      <c r="P102"/>
      <c r="Q102"/>
    </row>
    <row r="103" spans="2:17">
      <c r="B103"/>
      <c r="C103"/>
      <c r="F103"/>
      <c r="G103"/>
      <c r="K103" s="235"/>
      <c r="N103"/>
      <c r="O103"/>
      <c r="P103"/>
      <c r="Q103"/>
    </row>
    <row r="104" spans="2:17">
      <c r="B104"/>
      <c r="C104"/>
      <c r="F104"/>
      <c r="G104"/>
      <c r="K104" s="235"/>
      <c r="N104"/>
      <c r="O104"/>
      <c r="P104"/>
      <c r="Q104"/>
    </row>
    <row r="105" spans="2:17">
      <c r="B105"/>
      <c r="C105"/>
      <c r="F105"/>
      <c r="G105"/>
      <c r="K105" s="235"/>
      <c r="N105"/>
      <c r="O105"/>
      <c r="P105"/>
      <c r="Q105"/>
    </row>
    <row r="106" spans="2:17">
      <c r="B106"/>
      <c r="C106"/>
      <c r="F106"/>
      <c r="G106"/>
      <c r="K106" s="235"/>
      <c r="N106"/>
      <c r="O106"/>
      <c r="P106"/>
      <c r="Q106"/>
    </row>
  </sheetData>
  <sheetProtection password="A5F4" sheet="1" objects="1" scenarios="1" selectLockedCells="1"/>
  <mergeCells count="8">
    <mergeCell ref="B82:C82"/>
    <mergeCell ref="D8:J8"/>
    <mergeCell ref="B15:J15"/>
    <mergeCell ref="A18:A19"/>
    <mergeCell ref="B18:B19"/>
    <mergeCell ref="D18:E18"/>
    <mergeCell ref="H18:H19"/>
    <mergeCell ref="I18:I19"/>
  </mergeCells>
  <dataValidations count="1">
    <dataValidation allowBlank="1" showErrorMessage="1" promptTitle="Modification des quantités" prompt="Vous pouvez diminuer ou augmenter la quantité,._x000d_Si vous désirez supprimer l'aliment, inscrivez 0 (zéro)." sqref="A48:A49"/>
  </dataValidations>
  <hyperlinks>
    <hyperlink ref="B82" location="sommaire!A1" display="RETOUR AU SOMMAIRE"/>
    <hyperlink ref="C82"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6"/>
  <sheetViews>
    <sheetView workbookViewId="0">
      <selection activeCell="D5" sqref="D5"/>
    </sheetView>
  </sheetViews>
  <sheetFormatPr baseColWidth="10" defaultRowHeight="15" x14ac:dyDescent="0"/>
  <cols>
    <col min="1" max="1" width="6.33203125" customWidth="1"/>
    <col min="2" max="2" width="24.6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741</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ROUND(F82,0)</f>
        <v>1998</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298</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D3+E80-D11</f>
        <v>298</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07"/>
      <c r="D18" s="481" t="s">
        <v>7</v>
      </c>
      <c r="E18" s="482"/>
      <c r="F18" s="18"/>
      <c r="G18" s="43"/>
      <c r="H18" s="487" t="str">
        <f>A18</f>
        <v>g/cl</v>
      </c>
      <c r="I18" s="489" t="str">
        <f>B18</f>
        <v>Ingrédients</v>
      </c>
      <c r="J18" s="70" t="s">
        <v>7</v>
      </c>
      <c r="M18" s="411">
        <f>100-(D12/((D11+D12)/100))</f>
        <v>85.085085085085083</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244</v>
      </c>
      <c r="B21" s="16"/>
      <c r="C21" s="209"/>
      <c r="D21" s="17"/>
      <c r="E21" s="17"/>
      <c r="F21" s="18"/>
      <c r="G21" s="43"/>
      <c r="H21" s="17"/>
      <c r="I21" s="17"/>
      <c r="J21" s="17"/>
      <c r="L21" s="154"/>
      <c r="P21"/>
      <c r="Q21"/>
    </row>
    <row r="22" spans="1:17">
      <c r="A22" s="438">
        <v>50</v>
      </c>
      <c r="B22" s="107" t="s">
        <v>160</v>
      </c>
      <c r="C22" s="196" t="s">
        <v>673</v>
      </c>
      <c r="D22" s="164">
        <v>382</v>
      </c>
      <c r="E22" s="49">
        <f t="shared" ref="E22:E27" si="0">D22/100*A22</f>
        <v>191</v>
      </c>
      <c r="F22" s="18"/>
      <c r="G22" s="43"/>
      <c r="H22" s="55">
        <f t="shared" ref="H22:H27" si="1">IF(E22=0,A22,A22/E22*J22)</f>
        <v>42.542542542542549</v>
      </c>
      <c r="I22" s="2" t="str">
        <f t="shared" ref="I22:I27" si="2">B22</f>
        <v>céréales au miel</v>
      </c>
      <c r="J22" s="49">
        <f>E22*$M$18%</f>
        <v>162.51251251251253</v>
      </c>
      <c r="M22" s="411"/>
      <c r="Q22"/>
    </row>
    <row r="23" spans="1:17">
      <c r="A23" s="438">
        <v>150</v>
      </c>
      <c r="B23" s="2" t="s">
        <v>1</v>
      </c>
      <c r="C23" s="218"/>
      <c r="D23" s="51">
        <v>0</v>
      </c>
      <c r="E23" s="49">
        <f t="shared" si="0"/>
        <v>0</v>
      </c>
      <c r="F23" s="18"/>
      <c r="G23" s="43"/>
      <c r="H23" s="55">
        <f t="shared" si="1"/>
        <v>150</v>
      </c>
      <c r="I23" s="2" t="str">
        <f t="shared" si="2"/>
        <v>café</v>
      </c>
      <c r="J23" s="49">
        <f t="shared" ref="J23:J27" si="3">E23*$M$18%</f>
        <v>0</v>
      </c>
      <c r="Q23"/>
    </row>
    <row r="24" spans="1:17">
      <c r="A24" s="438">
        <v>4</v>
      </c>
      <c r="B24" s="2" t="s">
        <v>2</v>
      </c>
      <c r="C24" s="186" t="s">
        <v>674</v>
      </c>
      <c r="D24" s="51">
        <v>400</v>
      </c>
      <c r="E24" s="49">
        <f t="shared" si="0"/>
        <v>16</v>
      </c>
      <c r="F24" s="18"/>
      <c r="G24" s="43"/>
      <c r="H24" s="55">
        <f t="shared" si="1"/>
        <v>3.4034034034034035</v>
      </c>
      <c r="I24" s="2" t="str">
        <f t="shared" si="2"/>
        <v>sucre</v>
      </c>
      <c r="J24" s="49">
        <f t="shared" si="3"/>
        <v>13.613613613613614</v>
      </c>
      <c r="O24" s="45"/>
      <c r="Q24"/>
    </row>
    <row r="25" spans="1:17">
      <c r="A25" s="438">
        <v>12</v>
      </c>
      <c r="B25" s="2" t="s">
        <v>5</v>
      </c>
      <c r="C25" s="196" t="s">
        <v>673</v>
      </c>
      <c r="D25" s="51">
        <v>161</v>
      </c>
      <c r="E25" s="49">
        <f t="shared" si="0"/>
        <v>19.32</v>
      </c>
      <c r="F25" s="18"/>
      <c r="G25" s="43"/>
      <c r="H25" s="55">
        <f t="shared" si="1"/>
        <v>10.21021021021021</v>
      </c>
      <c r="I25" s="2" t="str">
        <f t="shared" si="2"/>
        <v>crème à café</v>
      </c>
      <c r="J25" s="49">
        <f t="shared" si="3"/>
        <v>16.438438438438439</v>
      </c>
      <c r="O25" s="45"/>
      <c r="Q25"/>
    </row>
    <row r="26" spans="1:17">
      <c r="A26" s="438">
        <v>125</v>
      </c>
      <c r="B26" s="2" t="s">
        <v>123</v>
      </c>
      <c r="C26" s="183" t="s">
        <v>675</v>
      </c>
      <c r="D26" s="51">
        <v>87</v>
      </c>
      <c r="E26" s="49">
        <f t="shared" si="0"/>
        <v>108.75</v>
      </c>
      <c r="F26" s="18"/>
      <c r="G26" s="43"/>
      <c r="H26" s="55">
        <f t="shared" si="1"/>
        <v>106.35635635635636</v>
      </c>
      <c r="I26" s="2" t="str">
        <f t="shared" si="2"/>
        <v>yogourt aux fruits</v>
      </c>
      <c r="J26" s="49">
        <f t="shared" si="3"/>
        <v>92.530030030030034</v>
      </c>
      <c r="O26" s="45"/>
      <c r="Q26"/>
    </row>
    <row r="27" spans="1:17">
      <c r="A27" s="438">
        <v>150</v>
      </c>
      <c r="B27" s="2" t="s">
        <v>103</v>
      </c>
      <c r="C27" s="183" t="s">
        <v>675</v>
      </c>
      <c r="D27" s="51">
        <v>45</v>
      </c>
      <c r="E27" s="49">
        <f t="shared" si="0"/>
        <v>67.5</v>
      </c>
      <c r="F27" s="18"/>
      <c r="G27" s="43"/>
      <c r="H27" s="55">
        <f t="shared" si="1"/>
        <v>127.62762762762765</v>
      </c>
      <c r="I27" s="2" t="str">
        <f t="shared" si="2"/>
        <v>jus d'orange maison</v>
      </c>
      <c r="J27" s="49">
        <f t="shared" si="3"/>
        <v>57.432432432432435</v>
      </c>
      <c r="O27" s="45"/>
      <c r="Q27"/>
    </row>
    <row r="28" spans="1:17">
      <c r="A28" s="42"/>
      <c r="B28" s="131"/>
      <c r="C28" s="200"/>
      <c r="E28" s="130" t="s">
        <v>6</v>
      </c>
      <c r="F28" s="135">
        <f>SUM(E22:E27)</f>
        <v>402.57</v>
      </c>
      <c r="G28" s="128"/>
      <c r="H28" s="42"/>
      <c r="I28" s="131"/>
      <c r="J28" s="130" t="s">
        <v>6</v>
      </c>
      <c r="K28" s="336">
        <f>SUM(J22:J27)</f>
        <v>342.52702702702709</v>
      </c>
      <c r="O28" s="45"/>
      <c r="Q28"/>
    </row>
    <row r="29" spans="1:17">
      <c r="A29" s="216" t="s">
        <v>225</v>
      </c>
      <c r="B29" s="16"/>
      <c r="C29" s="209"/>
      <c r="D29" s="17"/>
      <c r="E29" s="17"/>
      <c r="F29" s="18"/>
      <c r="G29" s="43"/>
      <c r="H29" s="17"/>
      <c r="I29" s="17"/>
      <c r="J29" s="17"/>
      <c r="P29"/>
      <c r="Q29"/>
    </row>
    <row r="30" spans="1:17">
      <c r="A30" s="66" t="s">
        <v>467</v>
      </c>
      <c r="B30" s="257"/>
      <c r="C30" s="257"/>
      <c r="D30" s="257"/>
      <c r="E30" s="257"/>
      <c r="F30" s="257"/>
      <c r="G30" s="257"/>
      <c r="H30" s="257"/>
      <c r="I30" s="257"/>
      <c r="J30" s="258"/>
      <c r="L30" s="154"/>
      <c r="O30" s="45"/>
      <c r="Q30"/>
    </row>
    <row r="31" spans="1:17">
      <c r="A31" s="439">
        <v>6</v>
      </c>
      <c r="B31" s="251" t="s">
        <v>490</v>
      </c>
      <c r="C31" s="249" t="s">
        <v>677</v>
      </c>
      <c r="D31" s="253">
        <v>899</v>
      </c>
      <c r="E31" s="254">
        <f t="shared" ref="E31:E51" si="4">D31/100*A31</f>
        <v>53.94</v>
      </c>
      <c r="F31" s="68"/>
      <c r="G31" s="43"/>
      <c r="H31" s="255">
        <f t="shared" ref="H31:H49" si="5">IF(E31=0,A31,A31/E31*J31)</f>
        <v>5.105105105105106</v>
      </c>
      <c r="I31" s="251" t="str">
        <f t="shared" ref="I31:I51" si="6">B31</f>
        <v xml:space="preserve">huile de tournesol </v>
      </c>
      <c r="J31" s="254">
        <f t="shared" ref="J31:J51" si="7">E31*$M$18%</f>
        <v>45.894894894894897</v>
      </c>
      <c r="L31" s="154"/>
      <c r="O31" s="45"/>
      <c r="Q31"/>
    </row>
    <row r="32" spans="1:17">
      <c r="A32" s="439">
        <v>25</v>
      </c>
      <c r="B32" s="251" t="s">
        <v>456</v>
      </c>
      <c r="C32" s="185" t="s">
        <v>676</v>
      </c>
      <c r="D32" s="253">
        <v>29</v>
      </c>
      <c r="E32" s="49">
        <f t="shared" si="4"/>
        <v>7.2499999999999991</v>
      </c>
      <c r="F32" s="68"/>
      <c r="G32" s="128"/>
      <c r="H32" s="55">
        <f t="shared" si="5"/>
        <v>21.271271271271271</v>
      </c>
      <c r="I32" s="2" t="str">
        <f t="shared" si="6"/>
        <v xml:space="preserve">1 oignon </v>
      </c>
      <c r="J32" s="49">
        <f t="shared" si="7"/>
        <v>6.1686686686686683</v>
      </c>
      <c r="O32" s="45"/>
      <c r="Q32"/>
    </row>
    <row r="33" spans="1:17">
      <c r="A33" s="439">
        <v>3</v>
      </c>
      <c r="B33" s="251" t="s">
        <v>485</v>
      </c>
      <c r="C33" s="185" t="s">
        <v>676</v>
      </c>
      <c r="D33" s="253">
        <v>131</v>
      </c>
      <c r="E33" s="49">
        <f t="shared" si="4"/>
        <v>3.93</v>
      </c>
      <c r="F33" s="68"/>
      <c r="G33" s="128"/>
      <c r="H33" s="55">
        <f t="shared" si="5"/>
        <v>2.5525525525525525</v>
      </c>
      <c r="I33" s="2" t="str">
        <f t="shared" si="6"/>
        <v xml:space="preserve">aïl </v>
      </c>
      <c r="J33" s="49">
        <f t="shared" si="7"/>
        <v>3.3438438438438443</v>
      </c>
      <c r="O33" s="45"/>
      <c r="Q33"/>
    </row>
    <row r="34" spans="1:17">
      <c r="A34" s="439">
        <v>40</v>
      </c>
      <c r="B34" s="251" t="s">
        <v>457</v>
      </c>
      <c r="C34" s="185" t="s">
        <v>676</v>
      </c>
      <c r="D34" s="253">
        <v>76</v>
      </c>
      <c r="E34" s="49">
        <f t="shared" si="4"/>
        <v>30.4</v>
      </c>
      <c r="F34" s="68"/>
      <c r="G34" s="128"/>
      <c r="H34" s="55">
        <f t="shared" si="5"/>
        <v>34.034034034034036</v>
      </c>
      <c r="I34" s="2" t="str">
        <f t="shared" si="6"/>
        <v xml:space="preserve">1 pomme de terre </v>
      </c>
      <c r="J34" s="49">
        <f t="shared" si="7"/>
        <v>25.865865865865867</v>
      </c>
      <c r="O34" s="45"/>
      <c r="Q34"/>
    </row>
    <row r="35" spans="1:17">
      <c r="A35" s="439">
        <f>250/4</f>
        <v>62.5</v>
      </c>
      <c r="B35" s="251" t="s">
        <v>458</v>
      </c>
      <c r="C35" s="185" t="s">
        <v>676</v>
      </c>
      <c r="D35" s="253">
        <v>30</v>
      </c>
      <c r="E35" s="49">
        <f t="shared" si="4"/>
        <v>18.75</v>
      </c>
      <c r="F35" s="68"/>
      <c r="G35" s="128"/>
      <c r="H35" s="55">
        <f t="shared" si="5"/>
        <v>53.178178178178179</v>
      </c>
      <c r="I35" s="2" t="str">
        <f t="shared" si="6"/>
        <v xml:space="preserve">2 carottes </v>
      </c>
      <c r="J35" s="49">
        <f t="shared" si="7"/>
        <v>15.953453453453454</v>
      </c>
      <c r="O35" s="45"/>
      <c r="Q35"/>
    </row>
    <row r="36" spans="1:17">
      <c r="A36" s="439">
        <v>2</v>
      </c>
      <c r="B36" s="251" t="s">
        <v>486</v>
      </c>
      <c r="C36" s="183" t="s">
        <v>675</v>
      </c>
      <c r="D36" s="253">
        <v>287</v>
      </c>
      <c r="E36" s="49">
        <f t="shared" si="4"/>
        <v>5.74</v>
      </c>
      <c r="F36" s="68"/>
      <c r="G36" s="128"/>
      <c r="H36" s="55">
        <f t="shared" si="5"/>
        <v>1.7017017017017018</v>
      </c>
      <c r="I36" s="2" t="str">
        <f t="shared" si="6"/>
        <v>curry doux en poudre</v>
      </c>
      <c r="J36" s="49">
        <f t="shared" si="7"/>
        <v>4.8838838838838843</v>
      </c>
      <c r="O36" s="45"/>
      <c r="Q36"/>
    </row>
    <row r="37" spans="1:17">
      <c r="A37" s="439">
        <v>1</v>
      </c>
      <c r="B37" s="251" t="s">
        <v>487</v>
      </c>
      <c r="C37" s="276"/>
      <c r="D37" s="253"/>
      <c r="E37" s="49">
        <f t="shared" ref="E37:E41" si="8">D37/100*A37</f>
        <v>0</v>
      </c>
      <c r="F37" s="68"/>
      <c r="G37" s="128"/>
      <c r="H37" s="55">
        <f t="shared" ref="H37:H41" si="9">IF(E37=0,A37,A37/E37*J37)</f>
        <v>1</v>
      </c>
      <c r="I37" s="2" t="str">
        <f t="shared" ref="I37:I41" si="10">B37</f>
        <v>coriandre en poudre</v>
      </c>
      <c r="J37" s="49">
        <f t="shared" ref="J37:J41" si="11">E37*$M$18%</f>
        <v>0</v>
      </c>
      <c r="O37" s="45"/>
      <c r="Q37"/>
    </row>
    <row r="38" spans="1:17">
      <c r="A38" s="439">
        <v>1.5</v>
      </c>
      <c r="B38" s="251" t="s">
        <v>488</v>
      </c>
      <c r="C38" s="183" t="s">
        <v>675</v>
      </c>
      <c r="D38" s="253">
        <v>291</v>
      </c>
      <c r="E38" s="49">
        <f t="shared" si="8"/>
        <v>4.3650000000000002</v>
      </c>
      <c r="F38" s="68"/>
      <c r="G38" s="128"/>
      <c r="H38" s="55">
        <f t="shared" si="9"/>
        <v>1.2762762762762765</v>
      </c>
      <c r="I38" s="2" t="str">
        <f t="shared" si="10"/>
        <v>curcuma en poudre</v>
      </c>
      <c r="J38" s="49">
        <f t="shared" si="11"/>
        <v>3.7139639639639643</v>
      </c>
      <c r="O38" s="45"/>
      <c r="Q38"/>
    </row>
    <row r="39" spans="1:17">
      <c r="A39" s="439">
        <v>2.5</v>
      </c>
      <c r="B39" s="251" t="s">
        <v>459</v>
      </c>
      <c r="C39" s="185" t="s">
        <v>676</v>
      </c>
      <c r="D39" s="253">
        <v>45</v>
      </c>
      <c r="E39" s="49">
        <f t="shared" si="8"/>
        <v>1.125</v>
      </c>
      <c r="F39" s="68"/>
      <c r="G39" s="128"/>
      <c r="H39" s="55">
        <f t="shared" si="9"/>
        <v>2.1271271271271273</v>
      </c>
      <c r="I39" s="2" t="str">
        <f t="shared" si="10"/>
        <v xml:space="preserve">1 piment vert frais </v>
      </c>
      <c r="J39" s="49">
        <f t="shared" si="11"/>
        <v>0.9572072072072072</v>
      </c>
      <c r="O39" s="45"/>
      <c r="Q39"/>
    </row>
    <row r="40" spans="1:17">
      <c r="A40" s="439">
        <v>0.5</v>
      </c>
      <c r="B40" s="251" t="s">
        <v>489</v>
      </c>
      <c r="C40" s="196" t="s">
        <v>673</v>
      </c>
      <c r="D40" s="253">
        <v>134</v>
      </c>
      <c r="E40" s="49">
        <f t="shared" si="8"/>
        <v>0.67</v>
      </c>
      <c r="F40" s="68"/>
      <c r="G40" s="128"/>
      <c r="H40" s="55">
        <f t="shared" si="9"/>
        <v>0.42542542542542544</v>
      </c>
      <c r="I40" s="2" t="str">
        <f t="shared" si="10"/>
        <v>moutarde en grains</v>
      </c>
      <c r="J40" s="49">
        <f t="shared" si="11"/>
        <v>0.57007007007007016</v>
      </c>
      <c r="O40" s="45"/>
      <c r="Q40"/>
    </row>
    <row r="41" spans="1:17">
      <c r="A41" s="439">
        <v>25</v>
      </c>
      <c r="B41" s="251" t="s">
        <v>460</v>
      </c>
      <c r="C41" s="281" t="s">
        <v>676</v>
      </c>
      <c r="D41" s="253">
        <v>94</v>
      </c>
      <c r="E41" s="49">
        <f t="shared" si="8"/>
        <v>23.5</v>
      </c>
      <c r="F41" s="68"/>
      <c r="G41" s="128"/>
      <c r="H41" s="55">
        <f t="shared" si="9"/>
        <v>21.271271271271274</v>
      </c>
      <c r="I41" s="2" t="str">
        <f t="shared" si="10"/>
        <v>100 g. de petit pois surgelés</v>
      </c>
      <c r="J41" s="49">
        <f t="shared" si="11"/>
        <v>19.994994994994997</v>
      </c>
      <c r="O41" s="45"/>
      <c r="Q41"/>
    </row>
    <row r="42" spans="1:17">
      <c r="A42" s="439">
        <v>15</v>
      </c>
      <c r="B42" s="251" t="s">
        <v>461</v>
      </c>
      <c r="C42" s="281" t="s">
        <v>676</v>
      </c>
      <c r="D42" s="253">
        <v>26</v>
      </c>
      <c r="E42" s="49">
        <f t="shared" si="4"/>
        <v>3.9000000000000004</v>
      </c>
      <c r="F42" s="68"/>
      <c r="G42" s="128"/>
      <c r="H42" s="55">
        <f t="shared" si="5"/>
        <v>12.762762762762764</v>
      </c>
      <c r="I42" s="2" t="str">
        <f t="shared" si="6"/>
        <v xml:space="preserve">60 g. de chou-fleur </v>
      </c>
      <c r="J42" s="49">
        <f t="shared" si="7"/>
        <v>3.3183183183183189</v>
      </c>
      <c r="O42" s="45"/>
      <c r="Q42"/>
    </row>
    <row r="43" spans="1:17">
      <c r="A43" s="439">
        <f>250/4</f>
        <v>62.5</v>
      </c>
      <c r="B43" s="251" t="s">
        <v>462</v>
      </c>
      <c r="C43" s="186" t="s">
        <v>674</v>
      </c>
      <c r="D43" s="253">
        <v>338</v>
      </c>
      <c r="E43" s="49">
        <f t="shared" si="4"/>
        <v>211.25</v>
      </c>
      <c r="F43" s="68"/>
      <c r="G43" s="128"/>
      <c r="H43" s="55">
        <f t="shared" si="5"/>
        <v>53.178178178178179</v>
      </c>
      <c r="I43" s="2" t="str">
        <f>B43</f>
        <v>250 g. de farine</v>
      </c>
      <c r="J43" s="49">
        <f>E43*$M$18%</f>
        <v>179.74224224224224</v>
      </c>
      <c r="O43" s="45"/>
      <c r="P43"/>
      <c r="Q43"/>
    </row>
    <row r="44" spans="1:17">
      <c r="A44" s="439">
        <v>10</v>
      </c>
      <c r="B44" s="251" t="s">
        <v>463</v>
      </c>
      <c r="C44" s="186" t="s">
        <v>674</v>
      </c>
      <c r="D44" s="253">
        <v>747</v>
      </c>
      <c r="E44" s="49">
        <f t="shared" si="4"/>
        <v>74.7</v>
      </c>
      <c r="F44" s="68"/>
      <c r="G44" s="128"/>
      <c r="H44" s="55">
        <f t="shared" si="5"/>
        <v>8.508508508508509</v>
      </c>
      <c r="I44" s="2" t="str">
        <f t="shared" si="6"/>
        <v>beurre fondu</v>
      </c>
      <c r="J44" s="49">
        <f t="shared" si="7"/>
        <v>63.558558558558566</v>
      </c>
      <c r="O44" s="45"/>
      <c r="Q44"/>
    </row>
    <row r="45" spans="1:17">
      <c r="A45" s="439">
        <f>14/4</f>
        <v>3.5</v>
      </c>
      <c r="B45" s="251" t="s">
        <v>468</v>
      </c>
      <c r="C45" s="281" t="s">
        <v>676</v>
      </c>
      <c r="D45" s="253">
        <v>17</v>
      </c>
      <c r="E45" s="49">
        <f t="shared" si="4"/>
        <v>0.59500000000000008</v>
      </c>
      <c r="F45" s="68"/>
      <c r="G45" s="128"/>
      <c r="H45" s="55">
        <f t="shared" si="5"/>
        <v>2.9779779779779783</v>
      </c>
      <c r="I45" s="2" t="str">
        <f t="shared" si="6"/>
        <v xml:space="preserve">jus de citron </v>
      </c>
      <c r="J45" s="49">
        <f t="shared" si="7"/>
        <v>0.50625625625625637</v>
      </c>
      <c r="O45" s="45"/>
      <c r="Q45"/>
    </row>
    <row r="46" spans="1:17">
      <c r="A46" s="439">
        <v>3</v>
      </c>
      <c r="B46" s="251" t="s">
        <v>464</v>
      </c>
      <c r="C46" s="281" t="s">
        <v>676</v>
      </c>
      <c r="D46" s="253">
        <v>22</v>
      </c>
      <c r="E46" s="49">
        <f t="shared" si="4"/>
        <v>0.66</v>
      </c>
      <c r="F46" s="68"/>
      <c r="G46" s="128"/>
      <c r="H46" s="55">
        <f t="shared" si="5"/>
        <v>2.5525525525525521</v>
      </c>
      <c r="I46" s="2" t="str">
        <f t="shared" si="6"/>
        <v xml:space="preserve">feuilles de coriandre </v>
      </c>
      <c r="J46" s="49">
        <f t="shared" si="7"/>
        <v>0.56156156156156156</v>
      </c>
      <c r="O46" s="45"/>
      <c r="Q46"/>
    </row>
    <row r="47" spans="1:17">
      <c r="A47" s="439">
        <v>1.5</v>
      </c>
      <c r="B47" s="251" t="s">
        <v>465</v>
      </c>
      <c r="C47" s="186" t="s">
        <v>674</v>
      </c>
      <c r="D47" s="253">
        <v>0</v>
      </c>
      <c r="E47" s="49">
        <f t="shared" si="4"/>
        <v>0</v>
      </c>
      <c r="F47" s="68"/>
      <c r="G47" s="128"/>
      <c r="H47" s="55">
        <f t="shared" si="5"/>
        <v>1.5</v>
      </c>
      <c r="I47" s="2" t="str">
        <f t="shared" si="6"/>
        <v>sel 4+2</v>
      </c>
      <c r="J47" s="49">
        <f t="shared" si="7"/>
        <v>0</v>
      </c>
      <c r="O47" s="45"/>
      <c r="P47"/>
      <c r="Q47"/>
    </row>
    <row r="48" spans="1:17">
      <c r="A48" s="439">
        <v>50</v>
      </c>
      <c r="B48" s="251" t="s">
        <v>466</v>
      </c>
      <c r="C48" s="281" t="s">
        <v>676</v>
      </c>
      <c r="D48" s="253">
        <v>18</v>
      </c>
      <c r="E48" s="49">
        <f t="shared" si="4"/>
        <v>9</v>
      </c>
      <c r="F48" s="68"/>
      <c r="G48" s="128"/>
      <c r="H48" s="55">
        <f t="shared" si="5"/>
        <v>42.542542542542542</v>
      </c>
      <c r="I48" s="2" t="str">
        <f t="shared" si="6"/>
        <v>salade verte</v>
      </c>
      <c r="J48" s="49">
        <f t="shared" si="7"/>
        <v>7.6576576576576576</v>
      </c>
      <c r="O48" s="45"/>
      <c r="P48"/>
      <c r="Q48"/>
    </row>
    <row r="49" spans="1:17">
      <c r="A49" s="439">
        <v>12</v>
      </c>
      <c r="B49" s="251" t="s">
        <v>387</v>
      </c>
      <c r="C49" s="186" t="s">
        <v>674</v>
      </c>
      <c r="D49" s="253">
        <v>472</v>
      </c>
      <c r="E49" s="49">
        <f t="shared" si="4"/>
        <v>56.64</v>
      </c>
      <c r="F49" s="68"/>
      <c r="G49" s="128"/>
      <c r="H49" s="55">
        <f t="shared" si="5"/>
        <v>10.21021021021021</v>
      </c>
      <c r="I49" s="2" t="str">
        <f t="shared" si="6"/>
        <v>sauce italienne</v>
      </c>
      <c r="J49" s="49">
        <f t="shared" si="7"/>
        <v>48.192192192192195</v>
      </c>
      <c r="K49" s="275"/>
      <c r="O49" s="45"/>
      <c r="P49"/>
      <c r="Q49"/>
    </row>
    <row r="50" spans="1:17">
      <c r="A50" s="66" t="s">
        <v>127</v>
      </c>
      <c r="B50" s="63"/>
      <c r="C50" s="202"/>
      <c r="D50" s="63"/>
      <c r="E50" s="64"/>
      <c r="F50" s="18"/>
      <c r="G50" s="43"/>
      <c r="H50" s="65"/>
      <c r="I50" s="63"/>
      <c r="J50" s="67"/>
      <c r="L50" s="154"/>
      <c r="O50" s="45"/>
      <c r="Q50"/>
    </row>
    <row r="51" spans="1:17">
      <c r="A51" s="439">
        <v>150</v>
      </c>
      <c r="B51" s="251" t="s">
        <v>479</v>
      </c>
      <c r="C51" s="199" t="s">
        <v>675</v>
      </c>
      <c r="D51" s="253">
        <v>68</v>
      </c>
      <c r="E51" s="49">
        <f t="shared" si="4"/>
        <v>102.00000000000001</v>
      </c>
      <c r="F51" s="18"/>
      <c r="G51" s="43"/>
      <c r="H51" s="55">
        <f>IF(E51=0,A51,A51/E51*J51)</f>
        <v>127.62762762762765</v>
      </c>
      <c r="I51" s="56" t="str">
        <f t="shared" si="6"/>
        <v>une grappe de raisins (150 g)</v>
      </c>
      <c r="J51" s="49">
        <f t="shared" si="7"/>
        <v>86.786786786786806</v>
      </c>
      <c r="K51" s="275"/>
      <c r="O51" s="45"/>
      <c r="P51"/>
      <c r="Q51"/>
    </row>
    <row r="52" spans="1:17">
      <c r="A52" s="42"/>
      <c r="B52" s="131"/>
      <c r="C52" s="200"/>
      <c r="E52" s="130" t="s">
        <v>6</v>
      </c>
      <c r="F52" s="138">
        <f>SUM(E31:E51)</f>
        <v>608.41500000000008</v>
      </c>
      <c r="G52" s="128"/>
      <c r="H52" s="42"/>
      <c r="I52" s="131"/>
      <c r="J52" s="130" t="s">
        <v>6</v>
      </c>
      <c r="K52" s="336">
        <f>SUM(J31:J51)</f>
        <v>517.67042042042044</v>
      </c>
      <c r="O52" s="45"/>
      <c r="Q52"/>
    </row>
    <row r="53" spans="1:17" ht="6" customHeight="1">
      <c r="A53" s="17"/>
      <c r="B53" s="17"/>
      <c r="C53" s="188"/>
      <c r="D53" s="68"/>
      <c r="E53" s="17"/>
      <c r="F53" s="18"/>
      <c r="G53" s="43"/>
      <c r="H53" s="17"/>
      <c r="I53" s="17"/>
      <c r="J53" s="17"/>
      <c r="O53" s="45"/>
      <c r="P53"/>
      <c r="Q53"/>
    </row>
    <row r="54" spans="1:17">
      <c r="A54" s="216" t="s">
        <v>228</v>
      </c>
      <c r="B54" s="16"/>
      <c r="C54" s="209"/>
      <c r="D54" s="17"/>
      <c r="E54" s="17"/>
      <c r="F54" s="18"/>
      <c r="G54" s="43"/>
      <c r="H54" s="17"/>
      <c r="I54" s="17"/>
      <c r="J54" s="17"/>
      <c r="L54" s="154"/>
      <c r="P54"/>
      <c r="Q54"/>
    </row>
    <row r="55" spans="1:17">
      <c r="A55" s="438">
        <v>100</v>
      </c>
      <c r="B55" s="107" t="s">
        <v>279</v>
      </c>
      <c r="C55" s="185" t="s">
        <v>676</v>
      </c>
      <c r="D55" s="51">
        <v>112</v>
      </c>
      <c r="E55" s="49">
        <f>D55/100*A55</f>
        <v>112.00000000000001</v>
      </c>
      <c r="F55" s="18"/>
      <c r="G55" s="43"/>
      <c r="H55" s="55">
        <f>IF(E55=0,A55,A55/E55*J55)</f>
        <v>85.085085085085083</v>
      </c>
      <c r="I55" s="2" t="str">
        <f>B55</f>
        <v>petit-suisse</v>
      </c>
      <c r="J55" s="49">
        <f>E55*$M$18%</f>
        <v>95.295295295295304</v>
      </c>
      <c r="L55" s="154"/>
    </row>
    <row r="56" spans="1:17">
      <c r="A56" s="438">
        <v>8</v>
      </c>
      <c r="B56" s="107" t="s">
        <v>2</v>
      </c>
      <c r="C56" s="186" t="s">
        <v>674</v>
      </c>
      <c r="D56" s="51">
        <v>400</v>
      </c>
      <c r="E56" s="49">
        <f>D56/100*A56</f>
        <v>32</v>
      </c>
      <c r="F56" s="18"/>
      <c r="G56" s="43"/>
      <c r="H56" s="55">
        <f>IF(E56=0,A56,A56/E56*J56)</f>
        <v>6.8068068068068071</v>
      </c>
      <c r="I56" s="2" t="str">
        <f>B56</f>
        <v>sucre</v>
      </c>
      <c r="J56" s="49">
        <f>E56*$M$18%</f>
        <v>27.227227227227228</v>
      </c>
    </row>
    <row r="57" spans="1:17">
      <c r="A57" s="42"/>
      <c r="B57" s="157"/>
      <c r="C57" s="272"/>
      <c r="E57" s="130" t="s">
        <v>6</v>
      </c>
      <c r="F57" s="135">
        <f>SUM(E55:E56)</f>
        <v>144</v>
      </c>
      <c r="G57" s="140"/>
      <c r="H57" s="42"/>
      <c r="I57" s="131"/>
      <c r="J57" s="130" t="s">
        <v>6</v>
      </c>
      <c r="K57" s="336">
        <f>SUM(J55:J56)</f>
        <v>122.52252252252254</v>
      </c>
      <c r="O57" s="45"/>
      <c r="Q57"/>
    </row>
    <row r="58" spans="1:17">
      <c r="A58" s="216" t="s">
        <v>226</v>
      </c>
      <c r="B58" s="16"/>
      <c r="C58" s="209"/>
      <c r="D58" s="17"/>
      <c r="E58" s="17"/>
      <c r="F58" s="18"/>
      <c r="G58" s="43"/>
      <c r="H58" s="17"/>
      <c r="I58" s="17"/>
      <c r="J58" s="17"/>
      <c r="P58"/>
      <c r="Q58"/>
    </row>
    <row r="59" spans="1:17">
      <c r="A59" s="66" t="s">
        <v>469</v>
      </c>
      <c r="B59" s="257"/>
      <c r="C59" s="257"/>
      <c r="D59" s="257"/>
      <c r="E59" s="257"/>
      <c r="F59" s="257"/>
      <c r="G59" s="257"/>
      <c r="H59" s="257"/>
      <c r="I59" s="257"/>
      <c r="J59" s="258"/>
      <c r="O59" s="45"/>
      <c r="Q59"/>
    </row>
    <row r="60" spans="1:17">
      <c r="A60" s="439">
        <v>150</v>
      </c>
      <c r="B60" s="251" t="s">
        <v>475</v>
      </c>
      <c r="C60" s="185" t="s">
        <v>676</v>
      </c>
      <c r="D60" s="253">
        <v>78</v>
      </c>
      <c r="E60" s="49">
        <f t="shared" ref="E60:E72" si="12">D60/100*A60</f>
        <v>117</v>
      </c>
      <c r="F60" s="68"/>
      <c r="G60" s="128"/>
      <c r="H60" s="55">
        <f t="shared" ref="H60:H72" si="13">IF(E60=0,A60,A60/E60*J60)</f>
        <v>127.62762762762765</v>
      </c>
      <c r="I60" s="2" t="str">
        <f t="shared" ref="I60:I72" si="14">B60</f>
        <v>600 g de baudroie (lotte)</v>
      </c>
      <c r="J60" s="49">
        <f t="shared" ref="J60:J80" si="15">E60*$M$18%</f>
        <v>99.549549549549553</v>
      </c>
      <c r="O60" s="45"/>
      <c r="P60"/>
      <c r="Q60"/>
    </row>
    <row r="61" spans="1:17">
      <c r="A61" s="439">
        <v>100</v>
      </c>
      <c r="B61" s="251" t="s">
        <v>477</v>
      </c>
      <c r="C61" s="185" t="s">
        <v>676</v>
      </c>
      <c r="D61" s="253">
        <v>30</v>
      </c>
      <c r="E61" s="49">
        <f t="shared" si="12"/>
        <v>30</v>
      </c>
      <c r="F61" s="68"/>
      <c r="G61" s="128"/>
      <c r="H61" s="55">
        <f t="shared" si="13"/>
        <v>85.085085085085097</v>
      </c>
      <c r="I61" s="2" t="str">
        <f t="shared" si="14"/>
        <v>400 g de carottes</v>
      </c>
      <c r="J61" s="49">
        <f t="shared" si="15"/>
        <v>25.525525525525527</v>
      </c>
      <c r="O61" s="45"/>
      <c r="P61"/>
      <c r="Q61"/>
    </row>
    <row r="62" spans="1:17">
      <c r="A62" s="439">
        <v>125</v>
      </c>
      <c r="B62" s="251" t="s">
        <v>476</v>
      </c>
      <c r="C62" s="185" t="s">
        <v>676</v>
      </c>
      <c r="D62" s="253">
        <v>19</v>
      </c>
      <c r="E62" s="49">
        <f t="shared" si="12"/>
        <v>23.75</v>
      </c>
      <c r="F62" s="68"/>
      <c r="G62" s="128"/>
      <c r="H62" s="55">
        <f t="shared" si="13"/>
        <v>106.35635635635637</v>
      </c>
      <c r="I62" s="2" t="str">
        <f t="shared" si="14"/>
        <v>500 g de courgettes</v>
      </c>
      <c r="J62" s="49">
        <f t="shared" si="15"/>
        <v>20.207707707707709</v>
      </c>
      <c r="O62" s="45"/>
      <c r="P62"/>
      <c r="Q62"/>
    </row>
    <row r="63" spans="1:17">
      <c r="A63" s="439">
        <v>75</v>
      </c>
      <c r="B63" s="251" t="s">
        <v>470</v>
      </c>
      <c r="C63" s="199" t="s">
        <v>675</v>
      </c>
      <c r="D63" s="253">
        <v>55</v>
      </c>
      <c r="E63" s="49">
        <f t="shared" si="12"/>
        <v>41.25</v>
      </c>
      <c r="F63" s="68"/>
      <c r="G63" s="128"/>
      <c r="H63" s="55">
        <f t="shared" si="13"/>
        <v>63.813813813813816</v>
      </c>
      <c r="I63" s="2" t="str">
        <f t="shared" si="14"/>
        <v>2 pommes granny smith</v>
      </c>
      <c r="J63" s="49">
        <f t="shared" si="15"/>
        <v>35.097597597597598</v>
      </c>
      <c r="O63" s="45"/>
      <c r="P63"/>
      <c r="Q63"/>
    </row>
    <row r="64" spans="1:17">
      <c r="A64" s="439">
        <v>1.5</v>
      </c>
      <c r="B64" s="251" t="s">
        <v>169</v>
      </c>
      <c r="C64" s="185" t="s">
        <v>676</v>
      </c>
      <c r="D64" s="253">
        <v>131</v>
      </c>
      <c r="E64" s="49">
        <f t="shared" si="12"/>
        <v>1.9650000000000001</v>
      </c>
      <c r="F64" s="68"/>
      <c r="G64" s="128"/>
      <c r="H64" s="55">
        <f t="shared" si="13"/>
        <v>1.2762762762762763</v>
      </c>
      <c r="I64" s="2" t="str">
        <f t="shared" si="14"/>
        <v>aïl</v>
      </c>
      <c r="J64" s="49">
        <f t="shared" si="15"/>
        <v>1.6719219219219221</v>
      </c>
      <c r="O64" s="45"/>
      <c r="P64"/>
      <c r="Q64"/>
    </row>
    <row r="65" spans="1:17">
      <c r="A65" s="439">
        <v>94</v>
      </c>
      <c r="B65" s="251" t="s">
        <v>471</v>
      </c>
      <c r="C65" s="185" t="s">
        <v>676</v>
      </c>
      <c r="D65" s="253">
        <v>60</v>
      </c>
      <c r="E65" s="49">
        <f t="shared" si="12"/>
        <v>56.4</v>
      </c>
      <c r="F65" s="68"/>
      <c r="G65" s="128"/>
      <c r="H65" s="55">
        <f t="shared" si="13"/>
        <v>79.979979979979973</v>
      </c>
      <c r="I65" s="2" t="str">
        <f t="shared" si="14"/>
        <v>fumet de poisson instantané</v>
      </c>
      <c r="J65" s="49">
        <f t="shared" si="15"/>
        <v>47.987987987987985</v>
      </c>
      <c r="O65" s="45"/>
      <c r="P65"/>
      <c r="Q65"/>
    </row>
    <row r="66" spans="1:17">
      <c r="A66" s="439"/>
      <c r="B66" s="251" t="s">
        <v>472</v>
      </c>
      <c r="C66" s="276"/>
      <c r="D66" s="253"/>
      <c r="E66" s="49">
        <f t="shared" si="12"/>
        <v>0</v>
      </c>
      <c r="F66" s="68"/>
      <c r="G66" s="128"/>
      <c r="H66" s="55">
        <f t="shared" si="13"/>
        <v>0</v>
      </c>
      <c r="I66" s="2" t="str">
        <f t="shared" si="14"/>
        <v>1 verre de vin blanc sec</v>
      </c>
      <c r="J66" s="49">
        <f t="shared" si="15"/>
        <v>0</v>
      </c>
      <c r="O66" s="45"/>
      <c r="P66"/>
      <c r="Q66"/>
    </row>
    <row r="67" spans="1:17">
      <c r="A67" s="439">
        <f>25/4</f>
        <v>6.25</v>
      </c>
      <c r="B67" s="251" t="s">
        <v>473</v>
      </c>
      <c r="C67" s="186" t="s">
        <v>674</v>
      </c>
      <c r="D67" s="253">
        <v>747</v>
      </c>
      <c r="E67" s="49">
        <f t="shared" si="12"/>
        <v>46.6875</v>
      </c>
      <c r="F67" s="68"/>
      <c r="G67" s="128"/>
      <c r="H67" s="55">
        <f t="shared" si="13"/>
        <v>5.3178178178178177</v>
      </c>
      <c r="I67" s="2" t="str">
        <f t="shared" si="14"/>
        <v>25 g de beurre salé</v>
      </c>
      <c r="J67" s="49">
        <f t="shared" si="15"/>
        <v>39.724099099099099</v>
      </c>
      <c r="L67" s="154"/>
      <c r="O67" s="45"/>
      <c r="P67"/>
      <c r="Q67"/>
    </row>
    <row r="68" spans="1:17">
      <c r="A68" s="439">
        <v>50</v>
      </c>
      <c r="B68" s="251" t="s">
        <v>484</v>
      </c>
      <c r="C68" s="186" t="s">
        <v>674</v>
      </c>
      <c r="D68" s="253">
        <v>252</v>
      </c>
      <c r="E68" s="49">
        <f t="shared" si="12"/>
        <v>126</v>
      </c>
      <c r="F68" s="68"/>
      <c r="G68" s="128"/>
      <c r="H68" s="55">
        <f t="shared" si="13"/>
        <v>42.542542542542542</v>
      </c>
      <c r="I68" s="2" t="str">
        <f t="shared" si="14"/>
        <v>2 dl de crème fraîche</v>
      </c>
      <c r="J68" s="49">
        <f t="shared" si="15"/>
        <v>107.2072072072072</v>
      </c>
      <c r="L68" s="154"/>
      <c r="O68" s="45"/>
      <c r="P68"/>
      <c r="Q68"/>
    </row>
    <row r="69" spans="1:17">
      <c r="A69" s="439">
        <v>3</v>
      </c>
      <c r="B69" s="251" t="s">
        <v>474</v>
      </c>
      <c r="C69" s="199" t="s">
        <v>675</v>
      </c>
      <c r="D69" s="253">
        <v>287</v>
      </c>
      <c r="E69" s="49">
        <f t="shared" si="12"/>
        <v>8.61</v>
      </c>
      <c r="F69" s="68"/>
      <c r="G69" s="128"/>
      <c r="H69" s="55">
        <f t="shared" si="13"/>
        <v>2.5525525525525525</v>
      </c>
      <c r="I69" s="2" t="str">
        <f t="shared" si="14"/>
        <v>curry jaune</v>
      </c>
      <c r="J69" s="49">
        <f t="shared" si="15"/>
        <v>7.3258258258258255</v>
      </c>
      <c r="L69" s="154"/>
      <c r="M69" s="412">
        <f>F73+F79</f>
        <v>842.73250000000007</v>
      </c>
      <c r="O69" s="45"/>
      <c r="P69"/>
      <c r="Q69"/>
    </row>
    <row r="70" spans="1:17">
      <c r="A70" s="439">
        <v>50</v>
      </c>
      <c r="B70" s="251" t="s">
        <v>478</v>
      </c>
      <c r="C70" s="186" t="s">
        <v>674</v>
      </c>
      <c r="D70" s="253">
        <v>351</v>
      </c>
      <c r="E70" s="49">
        <f t="shared" si="12"/>
        <v>175.5</v>
      </c>
      <c r="F70" s="68"/>
      <c r="G70" s="128"/>
      <c r="H70" s="55">
        <f t="shared" si="13"/>
        <v>42.542542542542542</v>
      </c>
      <c r="I70" s="2" t="str">
        <f t="shared" si="14"/>
        <v>200 g boulghour (sec)</v>
      </c>
      <c r="J70" s="49">
        <f t="shared" si="15"/>
        <v>149.32432432432432</v>
      </c>
      <c r="L70" s="154"/>
      <c r="O70" s="45"/>
      <c r="P70"/>
      <c r="Q70"/>
    </row>
    <row r="71" spans="1:17">
      <c r="A71" s="439">
        <v>1</v>
      </c>
      <c r="B71" s="251" t="s">
        <v>109</v>
      </c>
      <c r="C71" s="186" t="s">
        <v>674</v>
      </c>
      <c r="D71" s="253">
        <v>0</v>
      </c>
      <c r="E71" s="49">
        <f t="shared" si="12"/>
        <v>0</v>
      </c>
      <c r="F71" s="68"/>
      <c r="G71" s="128"/>
      <c r="H71" s="55">
        <f t="shared" si="13"/>
        <v>1</v>
      </c>
      <c r="I71" s="2" t="str">
        <f t="shared" si="14"/>
        <v>sel</v>
      </c>
      <c r="J71" s="49">
        <f t="shared" si="15"/>
        <v>0</v>
      </c>
      <c r="L71" s="154"/>
      <c r="O71" s="45"/>
      <c r="P71"/>
      <c r="Q71"/>
    </row>
    <row r="72" spans="1:17">
      <c r="A72" s="439">
        <v>0.5</v>
      </c>
      <c r="B72" s="2" t="s">
        <v>150</v>
      </c>
      <c r="C72" s="199" t="s">
        <v>675</v>
      </c>
      <c r="D72" s="253">
        <v>222</v>
      </c>
      <c r="E72" s="49">
        <f t="shared" si="12"/>
        <v>1.1100000000000001</v>
      </c>
      <c r="F72" s="68"/>
      <c r="G72" s="128"/>
      <c r="H72" s="55">
        <f t="shared" si="13"/>
        <v>0.42542542542542544</v>
      </c>
      <c r="I72" s="2" t="str">
        <f t="shared" si="14"/>
        <v xml:space="preserve">poivre </v>
      </c>
      <c r="J72" s="49">
        <f t="shared" si="15"/>
        <v>0.94444444444444453</v>
      </c>
      <c r="L72" s="154"/>
      <c r="O72" s="45"/>
      <c r="P72"/>
      <c r="Q72"/>
    </row>
    <row r="73" spans="1:17">
      <c r="A73" s="42"/>
      <c r="B73" s="131"/>
      <c r="C73" s="201"/>
      <c r="E73" s="130" t="s">
        <v>6</v>
      </c>
      <c r="F73" s="138">
        <f>SUM(E60:E72)</f>
        <v>628.27250000000004</v>
      </c>
      <c r="G73" s="140"/>
      <c r="H73" s="42"/>
      <c r="I73" s="131"/>
      <c r="J73" s="130" t="s">
        <v>6</v>
      </c>
      <c r="K73" s="336">
        <f>SUM(J60:J72)</f>
        <v>534.56619119119125</v>
      </c>
      <c r="L73" s="154"/>
      <c r="O73" s="45"/>
      <c r="Q73"/>
    </row>
    <row r="74" spans="1:17">
      <c r="A74" s="66" t="s">
        <v>480</v>
      </c>
      <c r="B74" s="257"/>
      <c r="C74" s="257"/>
      <c r="D74" s="257"/>
      <c r="E74" s="257"/>
      <c r="F74" s="259"/>
      <c r="G74" s="260"/>
      <c r="H74" s="257"/>
      <c r="I74" s="257"/>
      <c r="J74" s="258"/>
      <c r="O74" s="45"/>
      <c r="Q74"/>
    </row>
    <row r="75" spans="1:17">
      <c r="A75" s="439">
        <v>22.5</v>
      </c>
      <c r="B75" s="2" t="s">
        <v>752</v>
      </c>
      <c r="C75" s="186" t="s">
        <v>674</v>
      </c>
      <c r="D75" s="253">
        <v>252</v>
      </c>
      <c r="E75" s="49">
        <f>D75/100*A75</f>
        <v>56.7</v>
      </c>
      <c r="F75" s="68"/>
      <c r="G75" s="128"/>
      <c r="H75" s="55">
        <f t="shared" ref="H75" si="16">IF(E75=0,A75,A75/E75*J75)</f>
        <v>19.144144144144146</v>
      </c>
      <c r="I75" s="2" t="str">
        <f t="shared" ref="I75" si="17">B75</f>
        <v xml:space="preserve">sirop de rose </v>
      </c>
      <c r="J75" s="49">
        <f>E75*$M$18%</f>
        <v>48.243243243243249</v>
      </c>
      <c r="K75" s="241"/>
      <c r="O75" s="45"/>
      <c r="P75"/>
      <c r="Q75"/>
    </row>
    <row r="76" spans="1:17">
      <c r="A76" s="439">
        <f>250/4</f>
        <v>62.5</v>
      </c>
      <c r="B76" s="251" t="s">
        <v>482</v>
      </c>
      <c r="C76" s="199" t="s">
        <v>675</v>
      </c>
      <c r="D76" s="253">
        <v>52</v>
      </c>
      <c r="E76" s="49">
        <f t="shared" ref="E76" si="18">D76/100*A76</f>
        <v>32.5</v>
      </c>
      <c r="F76" s="68"/>
      <c r="G76" s="128"/>
      <c r="H76" s="55">
        <f>IF(E76=0,A76,A76/E76*J76)</f>
        <v>53.178178178178186</v>
      </c>
      <c r="I76" s="2" t="str">
        <f>B76</f>
        <v>1 boite de litchis (250 g)</v>
      </c>
      <c r="J76" s="49">
        <f t="shared" si="15"/>
        <v>27.652652652652655</v>
      </c>
      <c r="K76" s="241"/>
      <c r="O76" s="45"/>
      <c r="P76"/>
      <c r="Q76"/>
    </row>
    <row r="77" spans="1:17">
      <c r="A77" s="439">
        <v>2</v>
      </c>
      <c r="B77" s="251" t="s">
        <v>481</v>
      </c>
      <c r="C77" s="196" t="s">
        <v>673</v>
      </c>
      <c r="D77" s="253">
        <v>338</v>
      </c>
      <c r="E77" s="49">
        <f>D77/100*A77</f>
        <v>6.76</v>
      </c>
      <c r="F77" s="68"/>
      <c r="G77" s="128"/>
      <c r="H77" s="55">
        <f>IF(E77=0,A77,A77/E77*J77)</f>
        <v>1.7017017017017018</v>
      </c>
      <c r="I77" s="2" t="str">
        <f>B77</f>
        <v>4 feuilles de gélatine</v>
      </c>
      <c r="J77" s="49">
        <f>E77*$M$18%</f>
        <v>5.751751751751752</v>
      </c>
      <c r="K77" s="241"/>
      <c r="O77" s="45"/>
      <c r="P77"/>
      <c r="Q77"/>
    </row>
    <row r="78" spans="1:17">
      <c r="A78" s="439">
        <v>25</v>
      </c>
      <c r="B78" s="251" t="s">
        <v>483</v>
      </c>
      <c r="C78" s="186" t="s">
        <v>674</v>
      </c>
      <c r="D78" s="253">
        <v>474</v>
      </c>
      <c r="E78" s="49">
        <f t="shared" ref="E78" si="19">D78/100*A78</f>
        <v>118.5</v>
      </c>
      <c r="F78" s="68"/>
      <c r="G78" s="128"/>
      <c r="H78" s="55">
        <f t="shared" ref="H78" si="20">IF(E78=0,A78,A78/E78*J78)</f>
        <v>21.271271271271274</v>
      </c>
      <c r="I78" s="2" t="str">
        <f t="shared" ref="I78" si="21">B78</f>
        <v xml:space="preserve">sablés </v>
      </c>
      <c r="J78" s="49">
        <f t="shared" ref="J78" si="22">E78*$M$18%</f>
        <v>100.82582582582583</v>
      </c>
      <c r="K78" s="241"/>
      <c r="O78" s="45"/>
      <c r="P78"/>
      <c r="Q78"/>
    </row>
    <row r="79" spans="1:17">
      <c r="A79" s="42"/>
      <c r="B79" s="131"/>
      <c r="C79" s="201"/>
      <c r="E79" s="143" t="s">
        <v>6</v>
      </c>
      <c r="F79" s="274">
        <f>SUM(E75:E78)</f>
        <v>214.46</v>
      </c>
      <c r="G79" s="25"/>
      <c r="H79" s="42"/>
      <c r="I79" s="131"/>
      <c r="J79" s="143" t="s">
        <v>6</v>
      </c>
      <c r="K79" s="336">
        <f>SUM(J75:J78)</f>
        <v>182.47347347347349</v>
      </c>
      <c r="O79" s="45"/>
      <c r="Q79"/>
    </row>
    <row r="80" spans="1:17">
      <c r="A80" s="54">
        <f>IF(D5="non",0,IF(D5="1 verre",125,250))</f>
        <v>0</v>
      </c>
      <c r="B80" s="2" t="str">
        <f>IF(A80=0,"","vin")</f>
        <v/>
      </c>
      <c r="C80" s="203"/>
      <c r="D80" s="51">
        <v>80</v>
      </c>
      <c r="E80" s="49">
        <f>D80/100*A80</f>
        <v>0</v>
      </c>
      <c r="G80" s="142"/>
      <c r="H80" s="55">
        <f>IF(E80=0,A80,A80/E80*J80)</f>
        <v>0</v>
      </c>
      <c r="I80" s="2" t="str">
        <f>B80</f>
        <v/>
      </c>
      <c r="J80" s="49">
        <f t="shared" si="15"/>
        <v>0</v>
      </c>
      <c r="K80" s="335"/>
      <c r="O80" s="45"/>
      <c r="P80"/>
      <c r="Q80"/>
    </row>
    <row r="81" spans="1:17" ht="6" customHeight="1">
      <c r="A81" s="17"/>
      <c r="B81" s="17"/>
      <c r="C81" s="188"/>
      <c r="D81" s="68"/>
      <c r="E81" s="17"/>
      <c r="F81" s="18"/>
      <c r="G81" s="204"/>
      <c r="H81" s="17"/>
      <c r="I81" s="17"/>
      <c r="J81" s="17"/>
      <c r="K81" s="335"/>
      <c r="P81"/>
      <c r="Q81"/>
    </row>
    <row r="82" spans="1:17">
      <c r="A82" s="17"/>
      <c r="B82" s="17"/>
      <c r="C82" s="188"/>
      <c r="D82" s="69" t="s">
        <v>129</v>
      </c>
      <c r="F82" s="138">
        <f>SUM(F22:F79)</f>
        <v>1997.7175000000002</v>
      </c>
      <c r="G82" s="204"/>
      <c r="H82" s="17"/>
      <c r="I82" s="69" t="s">
        <v>129</v>
      </c>
      <c r="K82" s="336">
        <f>SUM(K22:K79)</f>
        <v>1699.7596346346347</v>
      </c>
      <c r="P82"/>
      <c r="Q82"/>
    </row>
    <row r="83" spans="1:17">
      <c r="A83" s="17"/>
      <c r="B83" s="17"/>
      <c r="C83" s="188"/>
      <c r="D83" s="18" t="s">
        <v>130</v>
      </c>
      <c r="E83" s="25"/>
      <c r="F83" s="144">
        <f>F82+E80</f>
        <v>1997.7175000000002</v>
      </c>
      <c r="G83" s="43"/>
      <c r="H83" s="42"/>
      <c r="I83" s="18" t="s">
        <v>130</v>
      </c>
      <c r="J83" s="25"/>
      <c r="K83" s="336">
        <f>K82+J80</f>
        <v>1699.7596346346347</v>
      </c>
      <c r="P83"/>
      <c r="Q83"/>
    </row>
    <row r="84" spans="1:17">
      <c r="A84" s="17"/>
      <c r="B84" s="16"/>
      <c r="C84" s="188"/>
      <c r="D84" s="17"/>
      <c r="E84" s="17"/>
      <c r="F84" s="205"/>
      <c r="G84" s="43"/>
      <c r="H84" s="17"/>
      <c r="I84" s="17"/>
      <c r="J84" s="17"/>
      <c r="P84"/>
      <c r="Q84"/>
    </row>
    <row r="85" spans="1:17" ht="19">
      <c r="A85" s="118" t="s">
        <v>100</v>
      </c>
      <c r="B85" s="491" t="s">
        <v>99</v>
      </c>
      <c r="C85" s="491"/>
      <c r="D85" s="17"/>
      <c r="E85" s="17"/>
      <c r="F85" s="18"/>
      <c r="G85" s="18"/>
      <c r="H85" s="17"/>
      <c r="I85" s="17"/>
      <c r="J85" s="17"/>
      <c r="P85"/>
      <c r="Q85"/>
    </row>
    <row r="86" spans="1:17" ht="409" customHeight="1">
      <c r="A86" s="17"/>
      <c r="B86" s="16"/>
      <c r="C86" s="228"/>
      <c r="D86" s="17"/>
      <c r="E86" s="17"/>
      <c r="F86" s="18"/>
      <c r="G86" s="18"/>
      <c r="H86" s="17"/>
      <c r="I86" s="17"/>
      <c r="J86" s="17"/>
      <c r="K86" s="18"/>
      <c r="P86"/>
      <c r="Q86"/>
    </row>
    <row r="87" spans="1:17">
      <c r="A87" s="17"/>
      <c r="B87" s="16"/>
      <c r="C87" s="188"/>
      <c r="D87" s="17"/>
      <c r="E87" s="17"/>
      <c r="F87" s="18"/>
      <c r="G87" s="18"/>
      <c r="H87" s="17"/>
      <c r="I87" s="17"/>
      <c r="J87" s="17"/>
      <c r="P87"/>
      <c r="Q87"/>
    </row>
    <row r="88" spans="1:17">
      <c r="A88" s="17"/>
      <c r="B88" s="16"/>
      <c r="C88" s="188"/>
      <c r="D88" s="17"/>
      <c r="E88" s="17"/>
      <c r="F88" s="18"/>
      <c r="G88" s="18"/>
      <c r="H88" s="17"/>
      <c r="I88" s="17"/>
      <c r="J88" s="17"/>
      <c r="P88"/>
      <c r="Q88"/>
    </row>
    <row r="89" spans="1:17">
      <c r="B89"/>
      <c r="C89"/>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N100"/>
      <c r="O100"/>
      <c r="P100"/>
      <c r="Q100"/>
    </row>
    <row r="101" spans="2:17">
      <c r="B101"/>
      <c r="C101"/>
      <c r="N101"/>
      <c r="O101"/>
      <c r="P101"/>
      <c r="Q101"/>
    </row>
    <row r="102" spans="2:17">
      <c r="B102"/>
      <c r="C102"/>
      <c r="F102"/>
      <c r="G102"/>
      <c r="K102" s="235"/>
      <c r="N102"/>
      <c r="O102"/>
      <c r="P102"/>
      <c r="Q102"/>
    </row>
    <row r="103" spans="2:17">
      <c r="B103"/>
      <c r="C103"/>
      <c r="F103"/>
      <c r="G103"/>
      <c r="K103" s="235"/>
      <c r="N103"/>
      <c r="O103"/>
      <c r="P103"/>
      <c r="Q103"/>
    </row>
    <row r="104" spans="2:17">
      <c r="B104"/>
      <c r="C104"/>
      <c r="F104"/>
      <c r="G104"/>
      <c r="K104" s="235"/>
      <c r="N104"/>
      <c r="O104"/>
      <c r="P104"/>
      <c r="Q104"/>
    </row>
    <row r="105" spans="2:17">
      <c r="B105"/>
      <c r="C105"/>
      <c r="F105"/>
      <c r="G105"/>
      <c r="K105" s="235"/>
      <c r="N105"/>
      <c r="O105"/>
      <c r="P105"/>
      <c r="Q105"/>
    </row>
    <row r="106" spans="2:17">
      <c r="B106"/>
      <c r="C106"/>
      <c r="F106"/>
      <c r="G106"/>
      <c r="K106" s="235"/>
      <c r="N106"/>
      <c r="O106"/>
      <c r="P106"/>
      <c r="Q106"/>
    </row>
  </sheetData>
  <sheetProtection password="A5F4" sheet="1" objects="1" scenarios="1" selectLockedCells="1"/>
  <mergeCells count="8">
    <mergeCell ref="B85:C85"/>
    <mergeCell ref="D8:J8"/>
    <mergeCell ref="B15:J15"/>
    <mergeCell ref="A18:A19"/>
    <mergeCell ref="B18:B19"/>
    <mergeCell ref="D18:E18"/>
    <mergeCell ref="H18:H19"/>
    <mergeCell ref="I18:I19"/>
  </mergeCells>
  <dataValidations xWindow="1083" yWindow="488" count="1">
    <dataValidation allowBlank="1" showErrorMessage="1" promptTitle="Modification des quantités" prompt="Vous pouvez diminuer ou augmenter la quantité,._x000d_Si vous désirez supprimer l'aliment, inscrivez 0 (zéro)." sqref="A1:A1048576"/>
  </dataValidations>
  <hyperlinks>
    <hyperlink ref="B85" location="sommaire!A1" display="RETOUR AU SOMMAIRE"/>
    <hyperlink ref="C85"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xWindow="1083" yWindow="488"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1"/>
  <sheetViews>
    <sheetView workbookViewId="0">
      <selection activeCell="D5" sqref="D5"/>
    </sheetView>
  </sheetViews>
  <sheetFormatPr baseColWidth="10" defaultRowHeight="15" x14ac:dyDescent="0"/>
  <cols>
    <col min="1" max="1" width="6.33203125" customWidth="1"/>
    <col min="2" max="2" width="25.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818</v>
      </c>
      <c r="B1" s="120"/>
      <c r="C1" s="187"/>
      <c r="D1" s="121"/>
      <c r="E1" s="121"/>
      <c r="F1" s="122"/>
      <c r="G1" s="122"/>
      <c r="H1" s="122"/>
      <c r="I1" s="123" t="s">
        <v>101</v>
      </c>
      <c r="J1" s="183" t="s">
        <v>675</v>
      </c>
      <c r="N1"/>
      <c r="O1"/>
      <c r="P1"/>
      <c r="Q1"/>
    </row>
    <row r="2" spans="1:17">
      <c r="A2" s="17"/>
      <c r="B2" s="16" t="s">
        <v>12</v>
      </c>
      <c r="C2" s="188"/>
      <c r="D2" s="17"/>
      <c r="E2" s="17"/>
      <c r="F2" s="18"/>
      <c r="G2" s="18"/>
      <c r="H2" s="17"/>
      <c r="I2" s="17"/>
      <c r="J2" s="17"/>
      <c r="N2"/>
      <c r="O2"/>
      <c r="P2"/>
      <c r="Q2"/>
    </row>
    <row r="3" spans="1:17">
      <c r="A3" s="16" t="s">
        <v>19</v>
      </c>
      <c r="B3" s="16"/>
      <c r="C3" s="188"/>
      <c r="D3" s="15">
        <f>ROUND(F74,0)</f>
        <v>2001</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301</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D3+E72-D11</f>
        <v>301</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07"/>
      <c r="D18" s="481" t="s">
        <v>7</v>
      </c>
      <c r="E18" s="482"/>
      <c r="F18" s="18"/>
      <c r="G18" s="43"/>
      <c r="H18" s="487" t="str">
        <f>A18</f>
        <v>g/cl</v>
      </c>
      <c r="I18" s="489" t="str">
        <f>B18</f>
        <v>Ingrédients</v>
      </c>
      <c r="J18" s="70" t="s">
        <v>7</v>
      </c>
      <c r="M18" s="411">
        <f>100-(D12/((D11+D12)/100))</f>
        <v>84.957521239380313</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243</v>
      </c>
      <c r="B21" s="16"/>
      <c r="C21" s="209"/>
      <c r="D21" s="17"/>
      <c r="E21" s="17"/>
      <c r="F21" s="18"/>
      <c r="G21" s="43"/>
      <c r="H21" s="17"/>
      <c r="I21" s="17"/>
      <c r="J21" s="17"/>
      <c r="L21" s="154"/>
      <c r="P21"/>
      <c r="Q21"/>
    </row>
    <row r="22" spans="1:17">
      <c r="A22" s="438">
        <v>60</v>
      </c>
      <c r="B22" s="2" t="s">
        <v>134</v>
      </c>
      <c r="C22" s="185" t="s">
        <v>676</v>
      </c>
      <c r="D22" s="51">
        <v>134</v>
      </c>
      <c r="E22" s="49">
        <f t="shared" ref="E22:E28" si="0">D22/100*A22</f>
        <v>80.400000000000006</v>
      </c>
      <c r="F22" s="18"/>
      <c r="G22" s="43"/>
      <c r="H22" s="55">
        <f t="shared" ref="H22:H28" si="1">IF(E22=0,A22,A22/E22*J22)</f>
        <v>50.974512743628182</v>
      </c>
      <c r="I22" s="2" t="str">
        <f t="shared" ref="I22:I28" si="2">B22</f>
        <v>œuf à la coque</v>
      </c>
      <c r="J22" s="49">
        <f>E22*$M$18%</f>
        <v>68.305847076461774</v>
      </c>
      <c r="M22" s="411"/>
      <c r="Q22"/>
    </row>
    <row r="23" spans="1:17">
      <c r="A23" s="438">
        <v>0.5</v>
      </c>
      <c r="B23" s="2" t="s">
        <v>109</v>
      </c>
      <c r="C23" s="197" t="s">
        <v>674</v>
      </c>
      <c r="D23" s="51">
        <v>0</v>
      </c>
      <c r="E23" s="49">
        <f t="shared" si="0"/>
        <v>0</v>
      </c>
      <c r="F23" s="18"/>
      <c r="G23" s="43"/>
      <c r="H23" s="55">
        <f t="shared" si="1"/>
        <v>0.5</v>
      </c>
      <c r="I23" s="2" t="str">
        <f t="shared" si="2"/>
        <v>sel</v>
      </c>
      <c r="J23" s="49">
        <f t="shared" ref="J23:J28" si="3">E23*$M$18%</f>
        <v>0</v>
      </c>
      <c r="Q23"/>
    </row>
    <row r="24" spans="1:17">
      <c r="A24" s="438">
        <v>40</v>
      </c>
      <c r="B24" s="2" t="s">
        <v>102</v>
      </c>
      <c r="C24" s="196" t="s">
        <v>673</v>
      </c>
      <c r="D24" s="51">
        <v>229</v>
      </c>
      <c r="E24" s="49">
        <f t="shared" si="0"/>
        <v>91.6</v>
      </c>
      <c r="F24" s="18"/>
      <c r="G24" s="43"/>
      <c r="H24" s="55">
        <f t="shared" si="1"/>
        <v>33.983008495752131</v>
      </c>
      <c r="I24" s="2" t="str">
        <f t="shared" si="2"/>
        <v>pain complet</v>
      </c>
      <c r="J24" s="49">
        <f t="shared" si="3"/>
        <v>77.821089455272372</v>
      </c>
      <c r="O24" s="45"/>
      <c r="Q24"/>
    </row>
    <row r="25" spans="1:17">
      <c r="A25" s="438">
        <v>125</v>
      </c>
      <c r="B25" s="2" t="s">
        <v>137</v>
      </c>
      <c r="C25" s="185" t="s">
        <v>676</v>
      </c>
      <c r="D25" s="51">
        <v>71</v>
      </c>
      <c r="E25" s="49">
        <f t="shared" si="0"/>
        <v>88.75</v>
      </c>
      <c r="F25" s="18"/>
      <c r="G25" s="43"/>
      <c r="H25" s="55">
        <f t="shared" si="1"/>
        <v>106.19690154922539</v>
      </c>
      <c r="I25" s="2" t="str">
        <f t="shared" si="2"/>
        <v>fromage blanc 20%</v>
      </c>
      <c r="J25" s="49">
        <f t="shared" si="3"/>
        <v>75.399800099950028</v>
      </c>
      <c r="O25" s="45"/>
      <c r="Q25"/>
    </row>
    <row r="26" spans="1:17">
      <c r="A26" s="438">
        <v>100</v>
      </c>
      <c r="B26" s="2" t="s">
        <v>136</v>
      </c>
      <c r="C26" s="199" t="s">
        <v>675</v>
      </c>
      <c r="D26" s="51">
        <v>67</v>
      </c>
      <c r="E26" s="49">
        <f t="shared" si="0"/>
        <v>67</v>
      </c>
      <c r="F26" s="18"/>
      <c r="G26" s="43"/>
      <c r="H26" s="55">
        <f t="shared" si="1"/>
        <v>84.957521239380327</v>
      </c>
      <c r="I26" s="2" t="str">
        <f t="shared" si="2"/>
        <v>salade de fruits frais</v>
      </c>
      <c r="J26" s="49">
        <f t="shared" si="3"/>
        <v>56.921539230384816</v>
      </c>
      <c r="O26" s="45"/>
      <c r="Q26"/>
    </row>
    <row r="27" spans="1:17">
      <c r="A27" s="438">
        <v>150</v>
      </c>
      <c r="B27" s="2" t="s">
        <v>135</v>
      </c>
      <c r="C27" s="203"/>
      <c r="D27" s="51">
        <v>0</v>
      </c>
      <c r="E27" s="49">
        <f t="shared" si="0"/>
        <v>0</v>
      </c>
      <c r="F27" s="18"/>
      <c r="G27" s="43"/>
      <c r="H27" s="55">
        <f t="shared" si="1"/>
        <v>150</v>
      </c>
      <c r="I27" s="2" t="str">
        <f t="shared" si="2"/>
        <v>thé</v>
      </c>
      <c r="J27" s="49">
        <f t="shared" si="3"/>
        <v>0</v>
      </c>
      <c r="O27" s="45"/>
      <c r="Q27"/>
    </row>
    <row r="28" spans="1:17">
      <c r="A28" s="438">
        <v>12</v>
      </c>
      <c r="B28" s="2" t="s">
        <v>2</v>
      </c>
      <c r="C28" s="197" t="s">
        <v>674</v>
      </c>
      <c r="D28" s="51">
        <v>400</v>
      </c>
      <c r="E28" s="49">
        <f t="shared" si="0"/>
        <v>48</v>
      </c>
      <c r="F28" s="18"/>
      <c r="G28" s="43"/>
      <c r="H28" s="55">
        <f t="shared" si="1"/>
        <v>10.194902548725638</v>
      </c>
      <c r="I28" s="2" t="str">
        <f t="shared" si="2"/>
        <v>sucre</v>
      </c>
      <c r="J28" s="49">
        <f t="shared" si="3"/>
        <v>40.779610194902553</v>
      </c>
      <c r="O28" s="45"/>
      <c r="Q28"/>
    </row>
    <row r="29" spans="1:17">
      <c r="A29" s="42"/>
      <c r="B29" s="131"/>
      <c r="C29" s="200"/>
      <c r="E29" s="130" t="s">
        <v>6</v>
      </c>
      <c r="F29" s="135">
        <f>SUM(E22:E28)</f>
        <v>375.75</v>
      </c>
      <c r="G29" s="128"/>
      <c r="H29" s="42"/>
      <c r="I29" s="131"/>
      <c r="J29" s="130" t="s">
        <v>6</v>
      </c>
      <c r="K29" s="336">
        <f>SUM(J22:J28)</f>
        <v>319.22788605697156</v>
      </c>
      <c r="O29" s="45"/>
      <c r="Q29"/>
    </row>
    <row r="30" spans="1:17">
      <c r="A30" s="216" t="s">
        <v>225</v>
      </c>
      <c r="B30" s="16"/>
      <c r="C30" s="209"/>
      <c r="D30" s="17"/>
      <c r="E30" s="17"/>
      <c r="F30" s="18"/>
      <c r="G30" s="43"/>
      <c r="H30" s="17"/>
      <c r="I30" s="17"/>
      <c r="J30" s="17"/>
      <c r="L30" s="154"/>
      <c r="P30"/>
      <c r="Q30"/>
    </row>
    <row r="31" spans="1:17">
      <c r="A31" s="66" t="s">
        <v>491</v>
      </c>
      <c r="B31" s="257"/>
      <c r="C31" s="257"/>
      <c r="D31" s="257"/>
      <c r="E31" s="257"/>
      <c r="F31" s="257"/>
      <c r="G31" s="257"/>
      <c r="H31" s="257"/>
      <c r="I31" s="257"/>
      <c r="J31" s="258"/>
      <c r="L31" s="154"/>
      <c r="O31" s="45"/>
      <c r="Q31"/>
    </row>
    <row r="32" spans="1:17">
      <c r="A32" s="439">
        <v>15</v>
      </c>
      <c r="B32" s="2" t="s">
        <v>126</v>
      </c>
      <c r="C32" s="185" t="s">
        <v>676</v>
      </c>
      <c r="D32" s="253">
        <v>146</v>
      </c>
      <c r="E32" s="254">
        <f t="shared" ref="E32:E39" si="4">D32/100*A32</f>
        <v>21.9</v>
      </c>
      <c r="F32" s="18"/>
      <c r="G32" s="43"/>
      <c r="H32" s="255">
        <f t="shared" ref="H32:H39" si="5">IF(E32=0,A32,A32/E32*J32)</f>
        <v>12.743628185907047</v>
      </c>
      <c r="I32" s="251" t="str">
        <f t="shared" ref="I32:I42" si="6">B32</f>
        <v>œuf</v>
      </c>
      <c r="J32" s="254">
        <f t="shared" ref="J32:J42" si="7">E32*$M$18%</f>
        <v>18.605697151424287</v>
      </c>
      <c r="O32" s="45"/>
      <c r="Q32"/>
    </row>
    <row r="33" spans="1:17">
      <c r="A33" s="439">
        <v>3</v>
      </c>
      <c r="B33" s="2" t="s">
        <v>492</v>
      </c>
      <c r="C33" s="196" t="s">
        <v>673</v>
      </c>
      <c r="D33" s="253">
        <v>899</v>
      </c>
      <c r="E33" s="49">
        <f t="shared" si="4"/>
        <v>26.97</v>
      </c>
      <c r="F33" s="68"/>
      <c r="G33" s="128"/>
      <c r="H33" s="55">
        <f t="shared" si="5"/>
        <v>2.5487256371814095</v>
      </c>
      <c r="I33" s="2" t="str">
        <f t="shared" si="6"/>
        <v xml:space="preserve">huile de colza </v>
      </c>
      <c r="J33" s="49">
        <f t="shared" si="7"/>
        <v>22.913043478260871</v>
      </c>
      <c r="O33" s="45"/>
      <c r="Q33"/>
    </row>
    <row r="34" spans="1:17">
      <c r="A34" s="439">
        <v>6</v>
      </c>
      <c r="B34" s="2" t="s">
        <v>284</v>
      </c>
      <c r="C34" s="197" t="s">
        <v>674</v>
      </c>
      <c r="D34" s="253">
        <v>370</v>
      </c>
      <c r="E34" s="49">
        <f t="shared" si="4"/>
        <v>22.200000000000003</v>
      </c>
      <c r="F34" s="68"/>
      <c r="G34" s="128"/>
      <c r="H34" s="55">
        <f t="shared" si="5"/>
        <v>5.0974512743628191</v>
      </c>
      <c r="I34" s="2" t="str">
        <f t="shared" si="6"/>
        <v>chapelure</v>
      </c>
      <c r="J34" s="49">
        <f t="shared" si="7"/>
        <v>18.860569715142432</v>
      </c>
      <c r="O34" s="45"/>
      <c r="Q34"/>
    </row>
    <row r="35" spans="1:17">
      <c r="A35" s="439">
        <f>150/4</f>
        <v>37.5</v>
      </c>
      <c r="B35" s="2" t="s">
        <v>511</v>
      </c>
      <c r="C35" s="197" t="s">
        <v>674</v>
      </c>
      <c r="D35" s="253">
        <v>232</v>
      </c>
      <c r="E35" s="49">
        <f t="shared" si="4"/>
        <v>87</v>
      </c>
      <c r="F35" s="68"/>
      <c r="G35" s="128"/>
      <c r="H35" s="55">
        <f t="shared" si="5"/>
        <v>31.859070464767616</v>
      </c>
      <c r="I35" s="2" t="str">
        <f t="shared" si="6"/>
        <v xml:space="preserve">bûche chèvre </v>
      </c>
      <c r="J35" s="49">
        <f t="shared" si="7"/>
        <v>73.913043478260875</v>
      </c>
      <c r="O35" s="45"/>
      <c r="Q35"/>
    </row>
    <row r="36" spans="1:17">
      <c r="A36" s="439">
        <f>250/4</f>
        <v>62.5</v>
      </c>
      <c r="B36" s="2" t="s">
        <v>512</v>
      </c>
      <c r="C36" s="196" t="s">
        <v>673</v>
      </c>
      <c r="D36" s="253">
        <v>265</v>
      </c>
      <c r="E36" s="49">
        <f t="shared" si="4"/>
        <v>165.625</v>
      </c>
      <c r="F36" s="68"/>
      <c r="G36" s="128"/>
      <c r="H36" s="55">
        <f t="shared" si="5"/>
        <v>53.098450774612708</v>
      </c>
      <c r="I36" s="2" t="str">
        <f t="shared" si="6"/>
        <v xml:space="preserve">baguette de pain </v>
      </c>
      <c r="J36" s="49">
        <f t="shared" si="7"/>
        <v>140.71089455272366</v>
      </c>
      <c r="O36" s="45"/>
      <c r="Q36"/>
    </row>
    <row r="37" spans="1:17">
      <c r="A37" s="439">
        <v>75</v>
      </c>
      <c r="B37" s="2" t="s">
        <v>510</v>
      </c>
      <c r="C37" s="185" t="s">
        <v>676</v>
      </c>
      <c r="D37" s="253">
        <v>15</v>
      </c>
      <c r="E37" s="49">
        <f t="shared" si="4"/>
        <v>11.25</v>
      </c>
      <c r="F37" s="68"/>
      <c r="G37" s="128"/>
      <c r="H37" s="55">
        <f t="shared" si="5"/>
        <v>63.718140929535238</v>
      </c>
      <c r="I37" s="2" t="str">
        <f t="shared" si="6"/>
        <v>scarole</v>
      </c>
      <c r="J37" s="49">
        <f t="shared" si="7"/>
        <v>9.557721139430285</v>
      </c>
      <c r="O37" s="45"/>
      <c r="Q37"/>
    </row>
    <row r="38" spans="1:17">
      <c r="A38" s="439">
        <v>15</v>
      </c>
      <c r="B38" s="2" t="s">
        <v>162</v>
      </c>
      <c r="C38" s="197" t="s">
        <v>674</v>
      </c>
      <c r="D38" s="253">
        <v>446</v>
      </c>
      <c r="E38" s="49">
        <f t="shared" si="4"/>
        <v>66.900000000000006</v>
      </c>
      <c r="F38" s="68"/>
      <c r="G38" s="128"/>
      <c r="H38" s="55">
        <f t="shared" si="5"/>
        <v>12.743628185907047</v>
      </c>
      <c r="I38" s="2" t="str">
        <f t="shared" si="6"/>
        <v>sauce française</v>
      </c>
      <c r="J38" s="49">
        <f t="shared" si="7"/>
        <v>56.836581709145435</v>
      </c>
      <c r="O38" s="45"/>
      <c r="Q38"/>
    </row>
    <row r="39" spans="1:17">
      <c r="A39" s="439">
        <v>12.5</v>
      </c>
      <c r="B39" s="2" t="s">
        <v>509</v>
      </c>
      <c r="C39" s="282" t="s">
        <v>677</v>
      </c>
      <c r="D39" s="253">
        <v>698</v>
      </c>
      <c r="E39" s="49">
        <f t="shared" si="4"/>
        <v>87.25</v>
      </c>
      <c r="F39" s="68"/>
      <c r="G39" s="128"/>
      <c r="H39" s="55">
        <f t="shared" si="5"/>
        <v>10.619690154922539</v>
      </c>
      <c r="I39" s="2" t="str">
        <f t="shared" si="6"/>
        <v>cerneaux de noix</v>
      </c>
      <c r="J39" s="49">
        <f t="shared" si="7"/>
        <v>74.125437281359325</v>
      </c>
      <c r="O39" s="45"/>
      <c r="Q39"/>
    </row>
    <row r="40" spans="1:17">
      <c r="A40" s="66" t="s">
        <v>127</v>
      </c>
      <c r="B40" s="63"/>
      <c r="C40" s="202"/>
      <c r="D40" s="63"/>
      <c r="E40" s="64"/>
      <c r="F40" s="18"/>
      <c r="G40" s="43"/>
      <c r="H40" s="65"/>
      <c r="I40" s="63"/>
      <c r="J40" s="67"/>
      <c r="O40" s="45"/>
      <c r="Q40"/>
    </row>
    <row r="41" spans="1:17">
      <c r="A41" s="439">
        <v>125</v>
      </c>
      <c r="B41" s="107" t="s">
        <v>206</v>
      </c>
      <c r="C41" s="196" t="s">
        <v>673</v>
      </c>
      <c r="D41" s="51">
        <v>127</v>
      </c>
      <c r="E41" s="49">
        <f t="shared" ref="E41" si="8">D41/100*A41</f>
        <v>158.75</v>
      </c>
      <c r="F41" s="68"/>
      <c r="G41" s="128"/>
      <c r="H41" s="55">
        <f t="shared" ref="H41" si="9">IF(E41=0,A41,A41/E41*J41)</f>
        <v>106.19690154922539</v>
      </c>
      <c r="I41" s="2" t="str">
        <f t="shared" ref="I41" si="10">B41</f>
        <v>yogourt grec</v>
      </c>
      <c r="J41" s="49">
        <f t="shared" ref="J41" si="11">E41*$M$18%</f>
        <v>134.87006496751624</v>
      </c>
      <c r="O41" s="45"/>
      <c r="Q41"/>
    </row>
    <row r="42" spans="1:17">
      <c r="A42" s="439">
        <v>8</v>
      </c>
      <c r="B42" s="107" t="s">
        <v>207</v>
      </c>
      <c r="C42" s="196" t="s">
        <v>673</v>
      </c>
      <c r="D42" s="51">
        <v>306</v>
      </c>
      <c r="E42" s="49">
        <f>D42/100*A42</f>
        <v>24.48</v>
      </c>
      <c r="F42" s="68"/>
      <c r="G42" s="43"/>
      <c r="H42" s="55">
        <f>IF(E42=0,A42,A42/E42*J42)</f>
        <v>6.7966016991504254</v>
      </c>
      <c r="I42" s="56" t="str">
        <f t="shared" si="6"/>
        <v>miel</v>
      </c>
      <c r="J42" s="49">
        <f t="shared" si="7"/>
        <v>20.797601199400301</v>
      </c>
      <c r="K42" s="275"/>
      <c r="O42" s="45"/>
      <c r="P42"/>
      <c r="Q42"/>
    </row>
    <row r="43" spans="1:17">
      <c r="A43" s="42"/>
      <c r="B43" s="131"/>
      <c r="C43" s="200"/>
      <c r="E43" s="130" t="s">
        <v>6</v>
      </c>
      <c r="F43" s="175">
        <f>SUM(E32:E42)</f>
        <v>672.32500000000005</v>
      </c>
      <c r="G43" s="128"/>
      <c r="H43" s="42"/>
      <c r="I43" s="131"/>
      <c r="J43" s="130" t="s">
        <v>6</v>
      </c>
      <c r="K43" s="336">
        <f>SUM(J32:J42)</f>
        <v>571.19065467266375</v>
      </c>
      <c r="O43" s="45"/>
      <c r="Q43"/>
    </row>
    <row r="44" spans="1:17" ht="6" customHeight="1">
      <c r="A44" s="17"/>
      <c r="B44" s="17"/>
      <c r="C44" s="188"/>
      <c r="D44" s="68"/>
      <c r="E44" s="17"/>
      <c r="F44" s="18"/>
      <c r="G44" s="43"/>
      <c r="H44" s="17"/>
      <c r="I44" s="17"/>
      <c r="J44" s="17"/>
      <c r="O44" s="45"/>
      <c r="P44"/>
      <c r="Q44"/>
    </row>
    <row r="45" spans="1:17">
      <c r="A45" s="216" t="s">
        <v>228</v>
      </c>
      <c r="B45" s="16"/>
      <c r="C45" s="209"/>
      <c r="D45" s="401"/>
      <c r="E45" s="17"/>
      <c r="F45" s="18"/>
      <c r="G45" s="43"/>
      <c r="H45" s="17"/>
      <c r="I45" s="17"/>
      <c r="J45" s="17"/>
      <c r="P45"/>
      <c r="Q45"/>
    </row>
    <row r="46" spans="1:17">
      <c r="A46" s="438">
        <v>150</v>
      </c>
      <c r="B46" s="2" t="s">
        <v>4</v>
      </c>
      <c r="C46" s="199" t="s">
        <v>675</v>
      </c>
      <c r="D46" s="51">
        <v>55</v>
      </c>
      <c r="E46" s="49">
        <f>D46/100*A46</f>
        <v>82.5</v>
      </c>
      <c r="F46" s="18"/>
      <c r="G46" s="43"/>
      <c r="H46" s="55">
        <f>IF(E46=0,A46,A46/E46*J46)</f>
        <v>127.43628185907048</v>
      </c>
      <c r="I46" s="2" t="str">
        <f>B46</f>
        <v>pomme</v>
      </c>
      <c r="J46" s="49">
        <f>E46*$M$18%</f>
        <v>70.089955022488766</v>
      </c>
    </row>
    <row r="47" spans="1:17">
      <c r="A47" s="42"/>
      <c r="B47" s="157"/>
      <c r="C47" s="272"/>
      <c r="E47" s="130" t="s">
        <v>6</v>
      </c>
      <c r="F47" s="135">
        <f>SUM(E46:E46)</f>
        <v>82.5</v>
      </c>
      <c r="G47" s="140"/>
      <c r="H47" s="42"/>
      <c r="I47" s="131"/>
      <c r="J47" s="130" t="s">
        <v>6</v>
      </c>
      <c r="K47" s="336">
        <f>SUM(J46:J46)</f>
        <v>70.089955022488766</v>
      </c>
      <c r="O47" s="45"/>
      <c r="Q47"/>
    </row>
    <row r="48" spans="1:17">
      <c r="A48" s="216" t="s">
        <v>226</v>
      </c>
      <c r="B48" s="16"/>
      <c r="C48" s="209"/>
      <c r="D48" s="17"/>
      <c r="E48" s="17"/>
      <c r="F48" s="18"/>
      <c r="G48" s="43"/>
      <c r="H48" s="17"/>
      <c r="I48" s="17"/>
      <c r="J48" s="17"/>
      <c r="P48"/>
      <c r="Q48"/>
    </row>
    <row r="49" spans="1:17">
      <c r="A49" s="66" t="s">
        <v>498</v>
      </c>
      <c r="B49" s="257"/>
      <c r="C49" s="257"/>
      <c r="D49" s="257"/>
      <c r="E49" s="257"/>
      <c r="F49" s="257"/>
      <c r="G49" s="257"/>
      <c r="H49" s="257"/>
      <c r="I49" s="257"/>
      <c r="J49" s="258"/>
      <c r="O49" s="45"/>
      <c r="Q49"/>
    </row>
    <row r="50" spans="1:17">
      <c r="A50" s="439">
        <v>150</v>
      </c>
      <c r="B50" s="2" t="s">
        <v>791</v>
      </c>
      <c r="C50" s="185" t="s">
        <v>676</v>
      </c>
      <c r="D50" s="253">
        <v>138</v>
      </c>
      <c r="E50" s="49">
        <f t="shared" ref="E50:E59" si="12">D50/100*A50</f>
        <v>206.99999999999997</v>
      </c>
      <c r="F50" s="68"/>
      <c r="G50" s="128"/>
      <c r="H50" s="55">
        <f t="shared" ref="H50:H59" si="13">IF(E50=0,A50,A50/E50*J50)</f>
        <v>127.43628185907048</v>
      </c>
      <c r="I50" s="2" t="str">
        <f t="shared" ref="I50:I54" si="14">B50</f>
        <v>entrecôte</v>
      </c>
      <c r="J50" s="49">
        <f t="shared" ref="J50:J72" si="15">E50*$M$18%</f>
        <v>175.86206896551724</v>
      </c>
      <c r="L50" s="154"/>
      <c r="O50" s="45"/>
      <c r="P50"/>
      <c r="Q50"/>
    </row>
    <row r="51" spans="1:17">
      <c r="A51" s="439">
        <v>9</v>
      </c>
      <c r="B51" s="298" t="s">
        <v>499</v>
      </c>
      <c r="C51" s="197" t="s">
        <v>674</v>
      </c>
      <c r="D51" s="253">
        <v>900</v>
      </c>
      <c r="E51" s="49">
        <f t="shared" si="12"/>
        <v>81</v>
      </c>
      <c r="F51" s="68"/>
      <c r="G51" s="128"/>
      <c r="H51" s="55">
        <f t="shared" si="13"/>
        <v>7.6461769115442291</v>
      </c>
      <c r="I51" s="2" t="str">
        <f t="shared" si="14"/>
        <v>huile de sésame</v>
      </c>
      <c r="J51" s="49">
        <f t="shared" si="15"/>
        <v>68.815592203898063</v>
      </c>
      <c r="O51" s="45"/>
      <c r="P51"/>
      <c r="Q51"/>
    </row>
    <row r="52" spans="1:17">
      <c r="A52" s="439">
        <v>9</v>
      </c>
      <c r="B52" s="2" t="s">
        <v>169</v>
      </c>
      <c r="C52" s="185" t="s">
        <v>676</v>
      </c>
      <c r="D52" s="253">
        <v>131</v>
      </c>
      <c r="E52" s="49">
        <f t="shared" si="12"/>
        <v>11.790000000000001</v>
      </c>
      <c r="F52" s="68"/>
      <c r="G52" s="128"/>
      <c r="H52" s="55">
        <f t="shared" si="13"/>
        <v>7.6461769115442291</v>
      </c>
      <c r="I52" s="2" t="str">
        <f t="shared" si="14"/>
        <v>aïl</v>
      </c>
      <c r="J52" s="49">
        <f t="shared" si="15"/>
        <v>10.01649175412294</v>
      </c>
      <c r="O52" s="45"/>
      <c r="P52"/>
      <c r="Q52"/>
    </row>
    <row r="53" spans="1:17">
      <c r="A53" s="439">
        <v>6</v>
      </c>
      <c r="B53" s="2" t="s">
        <v>198</v>
      </c>
      <c r="C53" s="282" t="s">
        <v>677</v>
      </c>
      <c r="D53" s="253">
        <v>58</v>
      </c>
      <c r="E53" s="49">
        <f t="shared" si="12"/>
        <v>3.4799999999999995</v>
      </c>
      <c r="F53" s="68"/>
      <c r="G53" s="128"/>
      <c r="H53" s="55">
        <f t="shared" si="13"/>
        <v>5.0974512743628191</v>
      </c>
      <c r="I53" s="2" t="str">
        <f t="shared" si="14"/>
        <v>sauce soja</v>
      </c>
      <c r="J53" s="49">
        <f t="shared" si="15"/>
        <v>2.9565217391304346</v>
      </c>
      <c r="O53" s="45"/>
      <c r="P53"/>
      <c r="Q53"/>
    </row>
    <row r="54" spans="1:17">
      <c r="A54" s="439">
        <v>75</v>
      </c>
      <c r="B54" s="2" t="s">
        <v>240</v>
      </c>
      <c r="C54" s="185" t="s">
        <v>676</v>
      </c>
      <c r="D54" s="253">
        <v>19</v>
      </c>
      <c r="E54" s="49">
        <f t="shared" si="12"/>
        <v>14.25</v>
      </c>
      <c r="F54" s="68"/>
      <c r="G54" s="128"/>
      <c r="H54" s="55">
        <f t="shared" si="13"/>
        <v>63.718140929535245</v>
      </c>
      <c r="I54" s="2" t="str">
        <f t="shared" si="14"/>
        <v>tomates</v>
      </c>
      <c r="J54" s="49">
        <f t="shared" si="15"/>
        <v>12.106446776611696</v>
      </c>
      <c r="L54" s="154"/>
      <c r="O54" s="45"/>
      <c r="P54"/>
      <c r="Q54"/>
    </row>
    <row r="55" spans="1:17">
      <c r="A55" s="439">
        <v>3</v>
      </c>
      <c r="B55" s="2" t="s">
        <v>495</v>
      </c>
      <c r="C55" s="185" t="s">
        <v>676</v>
      </c>
      <c r="D55" s="253">
        <v>28</v>
      </c>
      <c r="E55" s="49">
        <f t="shared" si="12"/>
        <v>0.84000000000000008</v>
      </c>
      <c r="F55" s="68"/>
      <c r="G55" s="128"/>
      <c r="H55" s="55">
        <f t="shared" si="13"/>
        <v>2.5487256371814095</v>
      </c>
      <c r="I55" s="2" t="str">
        <f>B55</f>
        <v xml:space="preserve">persil </v>
      </c>
      <c r="J55" s="49">
        <f t="shared" si="15"/>
        <v>0.71364317841079472</v>
      </c>
      <c r="L55" s="154"/>
      <c r="O55" s="45"/>
      <c r="P55"/>
      <c r="Q55"/>
    </row>
    <row r="56" spans="1:17">
      <c r="A56" s="439">
        <v>6</v>
      </c>
      <c r="B56" s="2" t="s">
        <v>493</v>
      </c>
      <c r="C56" s="196" t="s">
        <v>673</v>
      </c>
      <c r="D56" s="253">
        <v>283</v>
      </c>
      <c r="E56" s="49">
        <f t="shared" si="12"/>
        <v>16.98</v>
      </c>
      <c r="F56" s="68"/>
      <c r="G56" s="128"/>
      <c r="H56" s="55">
        <f t="shared" si="13"/>
        <v>5.0974512743628191</v>
      </c>
      <c r="I56" s="2" t="str">
        <f>B56</f>
        <v xml:space="preserve">herbes povençales </v>
      </c>
      <c r="J56" s="49">
        <f t="shared" si="15"/>
        <v>14.425787106446778</v>
      </c>
      <c r="O56" s="45"/>
      <c r="P56"/>
      <c r="Q56"/>
    </row>
    <row r="57" spans="1:17">
      <c r="A57" s="439">
        <v>6</v>
      </c>
      <c r="B57" s="2" t="s">
        <v>494</v>
      </c>
      <c r="C57" s="197" t="s">
        <v>674</v>
      </c>
      <c r="D57" s="253">
        <v>370</v>
      </c>
      <c r="E57" s="49">
        <f t="shared" si="12"/>
        <v>22.200000000000003</v>
      </c>
      <c r="F57" s="68"/>
      <c r="G57" s="128"/>
      <c r="H57" s="55">
        <f t="shared" si="13"/>
        <v>5.0974512743628191</v>
      </c>
      <c r="I57" s="2" t="str">
        <f>B57</f>
        <v xml:space="preserve">chapelure </v>
      </c>
      <c r="J57" s="49">
        <f t="shared" si="15"/>
        <v>18.860569715142432</v>
      </c>
      <c r="O57" s="45"/>
      <c r="P57"/>
      <c r="Q57"/>
    </row>
    <row r="58" spans="1:17">
      <c r="A58" s="439">
        <v>125</v>
      </c>
      <c r="B58" s="2" t="s">
        <v>500</v>
      </c>
      <c r="C58" s="199" t="s">
        <v>675</v>
      </c>
      <c r="D58" s="253">
        <v>213</v>
      </c>
      <c r="E58" s="49">
        <f t="shared" si="12"/>
        <v>266.25</v>
      </c>
      <c r="F58" s="68"/>
      <c r="G58" s="128"/>
      <c r="H58" s="55">
        <f t="shared" si="13"/>
        <v>106.19690154922539</v>
      </c>
      <c r="I58" s="2" t="str">
        <f>B58</f>
        <v>frites au four</v>
      </c>
      <c r="J58" s="49">
        <f t="shared" si="15"/>
        <v>226.19940029985008</v>
      </c>
      <c r="O58" s="45"/>
      <c r="P58"/>
      <c r="Q58"/>
    </row>
    <row r="59" spans="1:17">
      <c r="A59" s="439">
        <v>1.5</v>
      </c>
      <c r="B59" s="2" t="s">
        <v>331</v>
      </c>
      <c r="C59" s="197" t="s">
        <v>674</v>
      </c>
      <c r="D59" s="253"/>
      <c r="E59" s="49">
        <f t="shared" si="12"/>
        <v>0</v>
      </c>
      <c r="F59" s="68"/>
      <c r="G59" s="128"/>
      <c r="H59" s="55">
        <f t="shared" si="13"/>
        <v>1.5</v>
      </c>
      <c r="I59" s="2" t="str">
        <f>B59</f>
        <v xml:space="preserve">sel </v>
      </c>
      <c r="J59" s="49">
        <f t="shared" si="15"/>
        <v>0</v>
      </c>
      <c r="O59" s="45"/>
      <c r="P59"/>
      <c r="Q59"/>
    </row>
    <row r="60" spans="1:17">
      <c r="A60" s="42"/>
      <c r="B60" s="131"/>
      <c r="C60" s="201"/>
      <c r="E60" s="130" t="s">
        <v>6</v>
      </c>
      <c r="F60" s="138">
        <f>SUM(E50:E59)</f>
        <v>623.79</v>
      </c>
      <c r="G60" s="140"/>
      <c r="H60" s="42"/>
      <c r="I60" s="131"/>
      <c r="J60" s="130" t="s">
        <v>6</v>
      </c>
      <c r="K60" s="336">
        <f>SUM(J50:J59)</f>
        <v>529.95652173913049</v>
      </c>
      <c r="O60" s="45"/>
      <c r="Q60"/>
    </row>
    <row r="61" spans="1:17">
      <c r="A61" s="66" t="s">
        <v>497</v>
      </c>
      <c r="B61" s="257"/>
      <c r="C61" s="257"/>
      <c r="D61" s="257"/>
      <c r="E61" s="257"/>
      <c r="F61" s="259"/>
      <c r="G61" s="260"/>
      <c r="H61" s="257"/>
      <c r="I61" s="257"/>
      <c r="J61" s="258"/>
      <c r="O61" s="45"/>
      <c r="Q61"/>
    </row>
    <row r="62" spans="1:17">
      <c r="A62" s="439">
        <v>100</v>
      </c>
      <c r="B62" s="298" t="s">
        <v>501</v>
      </c>
      <c r="C62" s="185" t="s">
        <v>676</v>
      </c>
      <c r="D62" s="253">
        <v>49</v>
      </c>
      <c r="E62" s="49">
        <f t="shared" ref="E62:E70" si="16">D62/100*A62</f>
        <v>49</v>
      </c>
      <c r="F62" s="68"/>
      <c r="G62" s="128"/>
      <c r="H62" s="55">
        <f>IF(E62=0,A62,A62/E62*J62)</f>
        <v>84.957521239380313</v>
      </c>
      <c r="I62" s="2" t="str">
        <f>B62</f>
        <v>ananas Victoria </v>
      </c>
      <c r="J62" s="49">
        <f t="shared" si="15"/>
        <v>41.629185407296355</v>
      </c>
      <c r="K62" s="241"/>
      <c r="O62" s="45"/>
      <c r="P62"/>
      <c r="Q62"/>
    </row>
    <row r="63" spans="1:17">
      <c r="A63" s="439">
        <v>100</v>
      </c>
      <c r="B63" s="2" t="s">
        <v>502</v>
      </c>
      <c r="C63" s="185" t="s">
        <v>676</v>
      </c>
      <c r="D63" s="253">
        <v>58</v>
      </c>
      <c r="E63" s="49">
        <f t="shared" ref="E63:E67" si="17">D63/100*A63</f>
        <v>57.999999999999993</v>
      </c>
      <c r="F63" s="68"/>
      <c r="G63" s="128"/>
      <c r="H63" s="55">
        <f t="shared" ref="H63:H67" si="18">IF(E63=0,A63,A63/E63*J63)</f>
        <v>84.957521239380313</v>
      </c>
      <c r="I63" s="2" t="str">
        <f t="shared" ref="I63:I67" si="19">B63</f>
        <v>mangues </v>
      </c>
      <c r="J63" s="49">
        <f t="shared" ref="J63:J67" si="20">E63*$M$18%</f>
        <v>49.275362318840578</v>
      </c>
      <c r="K63" s="241"/>
      <c r="O63" s="45"/>
      <c r="P63"/>
      <c r="Q63"/>
    </row>
    <row r="64" spans="1:17">
      <c r="A64" s="439">
        <v>75</v>
      </c>
      <c r="B64" s="2" t="s">
        <v>503</v>
      </c>
      <c r="C64" s="282" t="s">
        <v>677</v>
      </c>
      <c r="D64" s="253">
        <v>53</v>
      </c>
      <c r="E64" s="49">
        <f t="shared" si="17"/>
        <v>39.75</v>
      </c>
      <c r="F64" s="68"/>
      <c r="G64" s="128"/>
      <c r="H64" s="55">
        <f t="shared" si="18"/>
        <v>63.718140929535231</v>
      </c>
      <c r="I64" s="2" t="str">
        <f t="shared" si="19"/>
        <v>jus d'abricot </v>
      </c>
      <c r="J64" s="49">
        <f t="shared" si="20"/>
        <v>33.770614692653673</v>
      </c>
      <c r="K64" s="241"/>
      <c r="O64" s="45"/>
      <c r="P64"/>
      <c r="Q64"/>
    </row>
    <row r="65" spans="1:17">
      <c r="A65" s="439">
        <v>1</v>
      </c>
      <c r="B65" s="2" t="s">
        <v>504</v>
      </c>
      <c r="C65" s="276"/>
      <c r="D65" s="253"/>
      <c r="E65" s="49">
        <f t="shared" si="17"/>
        <v>0</v>
      </c>
      <c r="F65" s="68"/>
      <c r="G65" s="128"/>
      <c r="H65" s="55">
        <f t="shared" si="18"/>
        <v>1</v>
      </c>
      <c r="I65" s="2" t="str">
        <f t="shared" si="19"/>
        <v>cannelle </v>
      </c>
      <c r="J65" s="49">
        <f t="shared" si="20"/>
        <v>0</v>
      </c>
      <c r="K65" s="241"/>
      <c r="O65" s="45"/>
      <c r="P65"/>
      <c r="Q65"/>
    </row>
    <row r="66" spans="1:17">
      <c r="A66" s="439">
        <v>25</v>
      </c>
      <c r="B66" s="2" t="s">
        <v>505</v>
      </c>
      <c r="C66" s="276"/>
      <c r="D66" s="253"/>
      <c r="E66" s="49">
        <f t="shared" si="17"/>
        <v>0</v>
      </c>
      <c r="F66" s="68"/>
      <c r="G66" s="128"/>
      <c r="H66" s="55">
        <f t="shared" si="18"/>
        <v>25</v>
      </c>
      <c r="I66" s="2" t="str">
        <f t="shared" si="19"/>
        <v>eau de fleur d'oranger </v>
      </c>
      <c r="J66" s="49">
        <f t="shared" si="20"/>
        <v>0</v>
      </c>
      <c r="K66" s="241"/>
      <c r="O66" s="45"/>
      <c r="P66"/>
      <c r="Q66"/>
    </row>
    <row r="67" spans="1:17">
      <c r="A67" s="439">
        <f>25/4</f>
        <v>6.25</v>
      </c>
      <c r="B67" s="2" t="s">
        <v>506</v>
      </c>
      <c r="C67" s="282" t="s">
        <v>677</v>
      </c>
      <c r="D67" s="253">
        <v>275</v>
      </c>
      <c r="E67" s="49">
        <f t="shared" si="17"/>
        <v>17.1875</v>
      </c>
      <c r="F67" s="68"/>
      <c r="G67" s="128"/>
      <c r="H67" s="55">
        <f t="shared" si="18"/>
        <v>5.3098450774612704</v>
      </c>
      <c r="I67" s="2" t="str">
        <f t="shared" si="19"/>
        <v xml:space="preserve">abricots secs </v>
      </c>
      <c r="J67" s="49">
        <f t="shared" si="20"/>
        <v>14.602073963018492</v>
      </c>
      <c r="K67" s="241"/>
      <c r="L67" s="154"/>
      <c r="O67" s="45"/>
      <c r="P67"/>
      <c r="Q67"/>
    </row>
    <row r="68" spans="1:17">
      <c r="A68" s="439">
        <f>25/4</f>
        <v>6.25</v>
      </c>
      <c r="B68" s="2" t="s">
        <v>507</v>
      </c>
      <c r="C68" s="197" t="s">
        <v>674</v>
      </c>
      <c r="D68" s="253">
        <v>298</v>
      </c>
      <c r="E68" s="49">
        <f t="shared" si="16"/>
        <v>18.625</v>
      </c>
      <c r="F68" s="68"/>
      <c r="G68" s="128"/>
      <c r="H68" s="55">
        <f t="shared" ref="H68:H69" si="21">IF(E68=0,A68,A68/E68*J68)</f>
        <v>5.3098450774612704</v>
      </c>
      <c r="I68" s="2" t="str">
        <f t="shared" ref="I68:I69" si="22">B68</f>
        <v>raisins secs </v>
      </c>
      <c r="J68" s="49">
        <f t="shared" si="15"/>
        <v>15.823338330834584</v>
      </c>
      <c r="K68" s="241"/>
      <c r="L68" s="154"/>
      <c r="O68" s="45"/>
      <c r="P68"/>
      <c r="Q68"/>
    </row>
    <row r="69" spans="1:17">
      <c r="A69" s="439">
        <v>5</v>
      </c>
      <c r="B69" s="2" t="s">
        <v>508</v>
      </c>
      <c r="C69" s="197" t="s">
        <v>674</v>
      </c>
      <c r="D69" s="253">
        <v>389</v>
      </c>
      <c r="E69" s="49">
        <f t="shared" si="16"/>
        <v>19.45</v>
      </c>
      <c r="F69" s="68"/>
      <c r="G69" s="128"/>
      <c r="H69" s="55">
        <f t="shared" si="21"/>
        <v>4.2478760619690155</v>
      </c>
      <c r="I69" s="2" t="str">
        <f t="shared" si="22"/>
        <v>sucre roux</v>
      </c>
      <c r="J69" s="49">
        <f t="shared" si="15"/>
        <v>16.52423788105947</v>
      </c>
      <c r="K69" s="241"/>
      <c r="L69" s="154"/>
      <c r="O69" s="45"/>
      <c r="P69"/>
      <c r="Q69"/>
    </row>
    <row r="70" spans="1:17">
      <c r="A70" s="439">
        <v>6</v>
      </c>
      <c r="B70" s="2" t="s">
        <v>496</v>
      </c>
      <c r="C70" s="197" t="s">
        <v>674</v>
      </c>
      <c r="D70" s="253">
        <v>747</v>
      </c>
      <c r="E70" s="49">
        <f t="shared" si="16"/>
        <v>44.82</v>
      </c>
      <c r="F70" s="68"/>
      <c r="G70" s="128"/>
      <c r="H70" s="55">
        <f>IF(E70=0,A70,A70/E70*J70)</f>
        <v>5.0974512743628191</v>
      </c>
      <c r="I70" s="2" t="str">
        <f>B70</f>
        <v>beurre </v>
      </c>
      <c r="J70" s="49">
        <f>E70*$M$18%</f>
        <v>38.07796101949026</v>
      </c>
      <c r="K70" s="241"/>
      <c r="L70" s="154"/>
      <c r="O70" s="45"/>
      <c r="P70"/>
      <c r="Q70"/>
    </row>
    <row r="71" spans="1:17">
      <c r="A71" s="42"/>
      <c r="B71" s="131"/>
      <c r="C71" s="201"/>
      <c r="E71" s="143" t="s">
        <v>6</v>
      </c>
      <c r="F71" s="138">
        <f>SUM(E62:E70)</f>
        <v>246.83249999999998</v>
      </c>
      <c r="G71" s="25"/>
      <c r="H71" s="42"/>
      <c r="I71" s="131"/>
      <c r="J71" s="143" t="s">
        <v>6</v>
      </c>
      <c r="K71" s="336">
        <f>SUM(J62:J70)</f>
        <v>209.70277361319341</v>
      </c>
      <c r="L71" s="154"/>
      <c r="O71" s="45"/>
      <c r="Q71"/>
    </row>
    <row r="72" spans="1:17">
      <c r="A72" s="54">
        <f>IF(D5="non",0,IF(D5="1 verre",125,250))</f>
        <v>0</v>
      </c>
      <c r="B72" s="2" t="str">
        <f>IF(A72=0,"","vin")</f>
        <v/>
      </c>
      <c r="C72" s="203"/>
      <c r="D72" s="51">
        <v>80</v>
      </c>
      <c r="E72" s="49">
        <f>D72/100*A72</f>
        <v>0</v>
      </c>
      <c r="G72" s="142"/>
      <c r="H72" s="55">
        <f>IF(E72=0,A72,A72/E72*J72)</f>
        <v>0</v>
      </c>
      <c r="I72" s="2" t="str">
        <f>B72</f>
        <v/>
      </c>
      <c r="J72" s="49">
        <f t="shared" si="15"/>
        <v>0</v>
      </c>
      <c r="K72" s="335"/>
      <c r="L72" s="154"/>
      <c r="O72" s="45"/>
      <c r="P72"/>
      <c r="Q72"/>
    </row>
    <row r="73" spans="1:17" ht="6" customHeight="1">
      <c r="A73" s="17"/>
      <c r="B73" s="17"/>
      <c r="C73" s="188"/>
      <c r="D73" s="68"/>
      <c r="E73" s="17"/>
      <c r="F73" s="18"/>
      <c r="G73" s="204"/>
      <c r="H73" s="17"/>
      <c r="I73" s="17"/>
      <c r="J73" s="17"/>
      <c r="K73" s="335"/>
      <c r="L73" s="154"/>
      <c r="P73"/>
      <c r="Q73"/>
    </row>
    <row r="74" spans="1:17">
      <c r="A74" s="17"/>
      <c r="B74" s="17"/>
      <c r="C74" s="188"/>
      <c r="D74" s="69" t="s">
        <v>129</v>
      </c>
      <c r="F74" s="297">
        <f>SUM(F22:F71)</f>
        <v>2001.1975</v>
      </c>
      <c r="G74" s="204"/>
      <c r="H74" s="17"/>
      <c r="I74" s="69" t="s">
        <v>129</v>
      </c>
      <c r="K74" s="337">
        <f>SUM(K22:K71)</f>
        <v>1700.1677911044478</v>
      </c>
      <c r="P74"/>
      <c r="Q74"/>
    </row>
    <row r="75" spans="1:17">
      <c r="A75" s="17"/>
      <c r="B75" s="17"/>
      <c r="C75" s="188"/>
      <c r="D75" s="18" t="s">
        <v>130</v>
      </c>
      <c r="E75" s="25"/>
      <c r="F75" s="144">
        <f>F74+E72</f>
        <v>2001.1975</v>
      </c>
      <c r="G75" s="43"/>
      <c r="H75" s="42"/>
      <c r="I75" s="18" t="s">
        <v>130</v>
      </c>
      <c r="J75" s="25"/>
      <c r="K75" s="336">
        <f>K74+J72</f>
        <v>1700.1677911044478</v>
      </c>
      <c r="P75"/>
      <c r="Q75"/>
    </row>
    <row r="76" spans="1:17">
      <c r="A76" s="17"/>
      <c r="B76" s="16"/>
      <c r="C76" s="188"/>
      <c r="D76" s="17"/>
      <c r="E76" s="17"/>
      <c r="F76" s="205"/>
      <c r="G76" s="43"/>
      <c r="H76" s="17"/>
      <c r="I76" s="17"/>
      <c r="J76" s="17"/>
      <c r="P76"/>
      <c r="Q76"/>
    </row>
    <row r="77" spans="1:17" ht="19">
      <c r="A77" s="118" t="s">
        <v>100</v>
      </c>
      <c r="B77" s="491" t="s">
        <v>99</v>
      </c>
      <c r="C77" s="491"/>
      <c r="D77" s="17"/>
      <c r="E77" s="17"/>
      <c r="F77" s="18"/>
      <c r="G77" s="18"/>
      <c r="H77" s="17"/>
      <c r="I77" s="17"/>
      <c r="J77" s="17"/>
      <c r="P77"/>
      <c r="Q77"/>
    </row>
    <row r="78" spans="1:17" ht="409" customHeight="1">
      <c r="A78" s="17"/>
      <c r="B78" s="16"/>
      <c r="C78" s="228"/>
      <c r="D78" s="17"/>
      <c r="E78" s="17"/>
      <c r="F78" s="18"/>
      <c r="G78" s="18"/>
      <c r="H78" s="17"/>
      <c r="I78" s="17"/>
      <c r="J78" s="17"/>
      <c r="K78" s="18"/>
      <c r="P78"/>
      <c r="Q78"/>
    </row>
    <row r="79" spans="1:17">
      <c r="A79" s="17"/>
      <c r="B79" s="16"/>
      <c r="C79" s="188"/>
      <c r="D79" s="17"/>
      <c r="E79" s="17"/>
      <c r="F79" s="18"/>
      <c r="G79" s="18"/>
      <c r="H79" s="17"/>
      <c r="I79" s="17"/>
      <c r="J79" s="17"/>
      <c r="P79"/>
      <c r="Q79"/>
    </row>
    <row r="80" spans="1:17">
      <c r="A80" s="17"/>
      <c r="B80" s="16"/>
      <c r="C80" s="188"/>
      <c r="D80" s="17"/>
      <c r="E80" s="17"/>
      <c r="F80" s="18"/>
      <c r="G80" s="18"/>
      <c r="H80" s="17"/>
      <c r="I80" s="17"/>
      <c r="J80" s="17"/>
      <c r="P80"/>
      <c r="Q80"/>
    </row>
    <row r="81" spans="2:17">
      <c r="F81" s="18"/>
      <c r="G81" s="18"/>
      <c r="N81"/>
      <c r="O81"/>
      <c r="P81"/>
      <c r="Q81"/>
    </row>
    <row r="82" spans="2:17">
      <c r="F82" s="206"/>
      <c r="N82"/>
      <c r="O82"/>
      <c r="P82"/>
      <c r="Q82"/>
    </row>
    <row r="83" spans="2:17">
      <c r="B83"/>
      <c r="C83"/>
      <c r="N83"/>
      <c r="O83"/>
      <c r="P83"/>
      <c r="Q83"/>
    </row>
    <row r="84" spans="2:17">
      <c r="B84"/>
      <c r="C84"/>
      <c r="N84"/>
      <c r="O84"/>
      <c r="P84"/>
      <c r="Q84"/>
    </row>
    <row r="85" spans="2:17">
      <c r="B85"/>
      <c r="C85"/>
      <c r="N85"/>
      <c r="O85"/>
      <c r="P85"/>
      <c r="Q85"/>
    </row>
    <row r="86" spans="2:17">
      <c r="B86"/>
      <c r="C86"/>
      <c r="N86"/>
      <c r="O86"/>
      <c r="P86"/>
      <c r="Q86"/>
    </row>
    <row r="87" spans="2:17">
      <c r="B87"/>
      <c r="C87"/>
      <c r="N87"/>
      <c r="O87"/>
      <c r="P87"/>
      <c r="Q87"/>
    </row>
    <row r="88" spans="2:17">
      <c r="B88"/>
      <c r="C88"/>
      <c r="N88"/>
      <c r="O88"/>
      <c r="P88"/>
      <c r="Q88"/>
    </row>
    <row r="89" spans="2:17">
      <c r="B89"/>
      <c r="C89"/>
      <c r="N89"/>
      <c r="O89"/>
      <c r="P89"/>
      <c r="Q89"/>
    </row>
    <row r="90" spans="2:17">
      <c r="B90"/>
      <c r="C90"/>
      <c r="N90"/>
      <c r="O90"/>
      <c r="P90"/>
      <c r="Q90"/>
    </row>
    <row r="91" spans="2:17">
      <c r="B91"/>
      <c r="C91"/>
      <c r="N91"/>
      <c r="O91"/>
      <c r="P91"/>
      <c r="Q91"/>
    </row>
    <row r="92" spans="2:17">
      <c r="B92"/>
      <c r="C92"/>
      <c r="N92"/>
      <c r="O92"/>
      <c r="P92"/>
      <c r="Q92"/>
    </row>
    <row r="93" spans="2:17">
      <c r="B93"/>
      <c r="C93"/>
      <c r="N93"/>
      <c r="O93"/>
      <c r="P93"/>
      <c r="Q93"/>
    </row>
    <row r="94" spans="2:17">
      <c r="B94"/>
      <c r="C94"/>
      <c r="N94"/>
      <c r="O94"/>
      <c r="P94"/>
      <c r="Q94"/>
    </row>
    <row r="95" spans="2:17">
      <c r="B95"/>
      <c r="C95"/>
      <c r="N95"/>
      <c r="O95"/>
      <c r="P95"/>
      <c r="Q95"/>
    </row>
    <row r="96" spans="2:17">
      <c r="B96"/>
      <c r="C96"/>
      <c r="N96"/>
      <c r="O96"/>
      <c r="P96"/>
      <c r="Q96"/>
    </row>
    <row r="97" spans="2:17">
      <c r="B97"/>
      <c r="C97"/>
      <c r="F97"/>
      <c r="G97"/>
      <c r="K97" s="235"/>
      <c r="N97"/>
      <c r="O97"/>
      <c r="P97"/>
      <c r="Q97"/>
    </row>
    <row r="98" spans="2:17">
      <c r="B98"/>
      <c r="C98"/>
      <c r="F98"/>
      <c r="G98"/>
      <c r="K98" s="235"/>
      <c r="N98"/>
      <c r="O98"/>
      <c r="P98"/>
      <c r="Q98"/>
    </row>
    <row r="99" spans="2:17">
      <c r="B99"/>
      <c r="C99"/>
      <c r="F99"/>
      <c r="G99"/>
      <c r="K99" s="235"/>
      <c r="N99"/>
      <c r="O99"/>
      <c r="P99"/>
      <c r="Q99"/>
    </row>
    <row r="100" spans="2:17">
      <c r="B100"/>
      <c r="C100"/>
      <c r="F100"/>
      <c r="G100"/>
      <c r="K100" s="235"/>
      <c r="N100"/>
      <c r="O100"/>
      <c r="P100"/>
      <c r="Q100"/>
    </row>
    <row r="101" spans="2:17">
      <c r="B101"/>
      <c r="C101"/>
      <c r="F101"/>
      <c r="G101"/>
      <c r="K101" s="235"/>
      <c r="N101"/>
      <c r="O101"/>
      <c r="P101"/>
      <c r="Q101"/>
    </row>
  </sheetData>
  <sheetProtection password="A5F4" sheet="1" objects="1" scenarios="1" selectLockedCells="1"/>
  <mergeCells count="8">
    <mergeCell ref="B77:C77"/>
    <mergeCell ref="D8:J8"/>
    <mergeCell ref="B15:J15"/>
    <mergeCell ref="A18:A19"/>
    <mergeCell ref="B18:B19"/>
    <mergeCell ref="D18:E18"/>
    <mergeCell ref="H18:H19"/>
    <mergeCell ref="I18:I19"/>
  </mergeCells>
  <hyperlinks>
    <hyperlink ref="B77" location="sommaire!A1" display="RETOUR AU SOMMAIRE"/>
    <hyperlink ref="C77"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7"/>
  <sheetViews>
    <sheetView workbookViewId="0">
      <selection activeCell="D5" sqref="D5"/>
    </sheetView>
  </sheetViews>
  <sheetFormatPr baseColWidth="10" defaultRowHeight="15" x14ac:dyDescent="0"/>
  <cols>
    <col min="1" max="1" width="6.33203125" customWidth="1"/>
    <col min="2" max="2" width="25.8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819</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ROUND(F80,0)</f>
        <v>1999</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299</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D3+E78-D11</f>
        <v>299</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22"/>
      <c r="D18" s="481" t="s">
        <v>7</v>
      </c>
      <c r="E18" s="482"/>
      <c r="F18" s="18"/>
      <c r="G18" s="43"/>
      <c r="H18" s="487" t="str">
        <f>A18</f>
        <v>g/cl</v>
      </c>
      <c r="I18" s="489" t="str">
        <f>B18</f>
        <v>Ingrédients</v>
      </c>
      <c r="J18" s="70" t="s">
        <v>7</v>
      </c>
      <c r="M18" s="411">
        <f>100-(D12/((D11+D12)/100))</f>
        <v>85.042521260630309</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242</v>
      </c>
      <c r="B21" s="16"/>
      <c r="C21" s="209"/>
      <c r="D21" s="17"/>
      <c r="E21" s="17"/>
      <c r="F21" s="18"/>
      <c r="G21" s="43"/>
      <c r="H21" s="17"/>
      <c r="I21" s="17"/>
      <c r="J21" s="17"/>
      <c r="L21" s="154"/>
      <c r="P21"/>
      <c r="Q21"/>
    </row>
    <row r="22" spans="1:17">
      <c r="A22" s="438">
        <v>30</v>
      </c>
      <c r="B22" s="2" t="s">
        <v>102</v>
      </c>
      <c r="C22" s="196" t="s">
        <v>673</v>
      </c>
      <c r="D22" s="51">
        <v>229</v>
      </c>
      <c r="E22" s="49">
        <f t="shared" ref="E22:E29" si="0">D22/100*A22</f>
        <v>68.7</v>
      </c>
      <c r="F22" s="18"/>
      <c r="G22" s="43"/>
      <c r="H22" s="55">
        <f t="shared" ref="H22:H29" si="1">IF(E22=0,A22,A22/E22*J22)</f>
        <v>25.512756378189092</v>
      </c>
      <c r="I22" s="2" t="str">
        <f t="shared" ref="I22:I29" si="2">B22</f>
        <v>pain complet</v>
      </c>
      <c r="J22" s="49">
        <f>E22*$M$18%</f>
        <v>58.424212106053027</v>
      </c>
      <c r="M22" s="411"/>
      <c r="Q22"/>
    </row>
    <row r="23" spans="1:17">
      <c r="A23" s="438">
        <v>5</v>
      </c>
      <c r="B23" s="2" t="s">
        <v>0</v>
      </c>
      <c r="C23" s="197" t="s">
        <v>674</v>
      </c>
      <c r="D23" s="51">
        <v>747.3</v>
      </c>
      <c r="E23" s="49">
        <f t="shared" si="0"/>
        <v>37.365000000000002</v>
      </c>
      <c r="F23" s="18"/>
      <c r="G23" s="43"/>
      <c r="H23" s="55">
        <f t="shared" si="1"/>
        <v>4.2521260630315156</v>
      </c>
      <c r="I23" s="2" t="str">
        <f t="shared" si="2"/>
        <v>beurre</v>
      </c>
      <c r="J23" s="49">
        <f t="shared" ref="J23:J29" si="3">E23*$M$18%</f>
        <v>31.776138069034516</v>
      </c>
      <c r="Q23"/>
    </row>
    <row r="24" spans="1:17">
      <c r="A24" s="438">
        <v>10</v>
      </c>
      <c r="B24" s="2" t="s">
        <v>3</v>
      </c>
      <c r="C24" s="197" t="s">
        <v>674</v>
      </c>
      <c r="D24" s="51">
        <v>246</v>
      </c>
      <c r="E24" s="49">
        <f t="shared" si="0"/>
        <v>24.6</v>
      </c>
      <c r="F24" s="18"/>
      <c r="G24" s="43"/>
      <c r="H24" s="55">
        <f t="shared" si="1"/>
        <v>8.5042521260630313</v>
      </c>
      <c r="I24" s="2" t="str">
        <f t="shared" si="2"/>
        <v>confiture</v>
      </c>
      <c r="J24" s="49">
        <f t="shared" si="3"/>
        <v>20.920460230115058</v>
      </c>
      <c r="O24" s="45"/>
      <c r="Q24"/>
    </row>
    <row r="25" spans="1:17">
      <c r="A25" s="438">
        <v>150</v>
      </c>
      <c r="B25" s="2" t="s">
        <v>1</v>
      </c>
      <c r="C25" s="198"/>
      <c r="D25" s="51">
        <v>0</v>
      </c>
      <c r="E25" s="49">
        <f t="shared" si="0"/>
        <v>0</v>
      </c>
      <c r="F25" s="18"/>
      <c r="G25" s="43"/>
      <c r="H25" s="55">
        <f t="shared" si="1"/>
        <v>150</v>
      </c>
      <c r="I25" s="2" t="str">
        <f t="shared" si="2"/>
        <v>café</v>
      </c>
      <c r="J25" s="49">
        <f t="shared" si="3"/>
        <v>0</v>
      </c>
      <c r="O25" s="45"/>
      <c r="Q25"/>
    </row>
    <row r="26" spans="1:17">
      <c r="A26" s="438">
        <v>4</v>
      </c>
      <c r="B26" s="2" t="s">
        <v>2</v>
      </c>
      <c r="C26" s="197" t="s">
        <v>674</v>
      </c>
      <c r="D26" s="51">
        <v>400</v>
      </c>
      <c r="E26" s="49">
        <f t="shared" si="0"/>
        <v>16</v>
      </c>
      <c r="F26" s="18"/>
      <c r="G26" s="43"/>
      <c r="H26" s="55">
        <f t="shared" si="1"/>
        <v>3.4017008504252124</v>
      </c>
      <c r="I26" s="2" t="str">
        <f t="shared" si="2"/>
        <v>sucre</v>
      </c>
      <c r="J26" s="49">
        <f t="shared" si="3"/>
        <v>13.60680340170085</v>
      </c>
      <c r="O26" s="45"/>
      <c r="Q26"/>
    </row>
    <row r="27" spans="1:17">
      <c r="A27" s="438">
        <v>12</v>
      </c>
      <c r="B27" s="2" t="s">
        <v>5</v>
      </c>
      <c r="C27" s="196" t="s">
        <v>673</v>
      </c>
      <c r="D27" s="51">
        <v>161</v>
      </c>
      <c r="E27" s="49">
        <f t="shared" si="0"/>
        <v>19.32</v>
      </c>
      <c r="F27" s="18"/>
      <c r="G27" s="43"/>
      <c r="H27" s="55">
        <f t="shared" si="1"/>
        <v>10.205102551275637</v>
      </c>
      <c r="I27" s="2" t="str">
        <f t="shared" si="2"/>
        <v>crème à café</v>
      </c>
      <c r="J27" s="49">
        <f t="shared" si="3"/>
        <v>16.430215107553778</v>
      </c>
      <c r="O27" s="45"/>
      <c r="Q27"/>
    </row>
    <row r="28" spans="1:17">
      <c r="A28" s="438">
        <v>125</v>
      </c>
      <c r="B28" s="2" t="s">
        <v>123</v>
      </c>
      <c r="C28" s="199" t="s">
        <v>675</v>
      </c>
      <c r="D28" s="51">
        <v>87</v>
      </c>
      <c r="E28" s="49">
        <f t="shared" si="0"/>
        <v>108.75</v>
      </c>
      <c r="F28" s="18"/>
      <c r="G28" s="43"/>
      <c r="H28" s="55">
        <f t="shared" si="1"/>
        <v>106.30315157578788</v>
      </c>
      <c r="I28" s="2" t="str">
        <f t="shared" si="2"/>
        <v>yogourt aux fruits</v>
      </c>
      <c r="J28" s="49">
        <f t="shared" si="3"/>
        <v>92.483741870935461</v>
      </c>
      <c r="O28" s="45"/>
      <c r="Q28"/>
    </row>
    <row r="29" spans="1:17">
      <c r="A29" s="438">
        <v>150</v>
      </c>
      <c r="B29" s="2" t="s">
        <v>103</v>
      </c>
      <c r="C29" s="199" t="s">
        <v>675</v>
      </c>
      <c r="D29" s="51">
        <v>45</v>
      </c>
      <c r="E29" s="49">
        <f t="shared" si="0"/>
        <v>67.5</v>
      </c>
      <c r="F29" s="68"/>
      <c r="G29" s="128"/>
      <c r="H29" s="55">
        <f t="shared" si="1"/>
        <v>127.56378189094546</v>
      </c>
      <c r="I29" s="2" t="str">
        <f t="shared" si="2"/>
        <v>jus d'orange maison</v>
      </c>
      <c r="J29" s="49">
        <f t="shared" si="3"/>
        <v>57.403701850925458</v>
      </c>
      <c r="K29" s="275"/>
      <c r="O29" s="45"/>
      <c r="Q29"/>
    </row>
    <row r="30" spans="1:17">
      <c r="A30" s="42"/>
      <c r="B30" s="131"/>
      <c r="C30" s="200"/>
      <c r="E30" s="130" t="s">
        <v>6</v>
      </c>
      <c r="F30" s="175">
        <f>SUM(E22:E29)</f>
        <v>342.23500000000001</v>
      </c>
      <c r="G30" s="128"/>
      <c r="H30" s="42"/>
      <c r="I30" s="131"/>
      <c r="J30" s="130" t="s">
        <v>6</v>
      </c>
      <c r="K30" s="336">
        <f>SUM(J22:J29)</f>
        <v>291.04527263631815</v>
      </c>
      <c r="L30" s="154"/>
      <c r="O30" s="45"/>
      <c r="Q30"/>
    </row>
    <row r="31" spans="1:17">
      <c r="A31" s="216" t="s">
        <v>225</v>
      </c>
      <c r="B31" s="16"/>
      <c r="C31" s="188"/>
      <c r="D31" s="17"/>
      <c r="E31" s="17"/>
      <c r="F31" s="18"/>
      <c r="G31" s="43"/>
      <c r="H31" s="17"/>
      <c r="I31" s="17"/>
      <c r="J31" s="17"/>
      <c r="L31" s="154"/>
      <c r="P31"/>
      <c r="Q31"/>
    </row>
    <row r="32" spans="1:17">
      <c r="A32" s="66" t="s">
        <v>514</v>
      </c>
      <c r="B32" s="257"/>
      <c r="C32" s="323"/>
      <c r="D32" s="257"/>
      <c r="E32" s="257"/>
      <c r="F32" s="257"/>
      <c r="G32" s="257"/>
      <c r="H32" s="257"/>
      <c r="I32" s="257"/>
      <c r="J32" s="258"/>
      <c r="O32" s="45"/>
      <c r="Q32"/>
    </row>
    <row r="33" spans="1:17">
      <c r="A33" s="439">
        <f>250/4</f>
        <v>62.5</v>
      </c>
      <c r="B33" s="2" t="s">
        <v>521</v>
      </c>
      <c r="C33" s="273" t="s">
        <v>676</v>
      </c>
      <c r="D33" s="51">
        <v>94</v>
      </c>
      <c r="E33" s="254">
        <f t="shared" ref="E33:E49" si="4">D33/100*A33</f>
        <v>58.75</v>
      </c>
      <c r="F33" s="68"/>
      <c r="G33" s="43"/>
      <c r="H33" s="255">
        <f t="shared" ref="H33:H49" si="5">IF(E33=0,A33,A33/E33*J33)</f>
        <v>53.15157578789394</v>
      </c>
      <c r="I33" s="251" t="str">
        <f t="shared" ref="I33:I51" si="6">B33</f>
        <v>haricots blancs</v>
      </c>
      <c r="J33" s="254">
        <f t="shared" ref="J33:J51" si="7">E33*$M$18%</f>
        <v>49.962481240620306</v>
      </c>
      <c r="O33" s="45"/>
      <c r="Q33"/>
    </row>
    <row r="34" spans="1:17">
      <c r="A34" s="439">
        <v>250</v>
      </c>
      <c r="B34" s="2" t="s">
        <v>522</v>
      </c>
      <c r="C34" s="273" t="s">
        <v>676</v>
      </c>
      <c r="D34" s="253">
        <v>20</v>
      </c>
      <c r="E34" s="49">
        <f t="shared" si="4"/>
        <v>50</v>
      </c>
      <c r="F34" s="68"/>
      <c r="G34" s="128"/>
      <c r="H34" s="55">
        <f t="shared" si="5"/>
        <v>212.60630315157579</v>
      </c>
      <c r="I34" s="2" t="str">
        <f t="shared" si="6"/>
        <v>chair de potiron</v>
      </c>
      <c r="J34" s="49">
        <f t="shared" si="7"/>
        <v>42.521260630315155</v>
      </c>
      <c r="O34" s="45"/>
      <c r="Q34"/>
    </row>
    <row r="35" spans="1:17">
      <c r="A35" s="439">
        <v>25</v>
      </c>
      <c r="B35" s="2" t="s">
        <v>271</v>
      </c>
      <c r="C35" s="273" t="s">
        <v>676</v>
      </c>
      <c r="D35" s="253">
        <v>29</v>
      </c>
      <c r="E35" s="49">
        <f t="shared" si="4"/>
        <v>7.2499999999999991</v>
      </c>
      <c r="F35" s="68"/>
      <c r="G35" s="128"/>
      <c r="H35" s="55">
        <f t="shared" si="5"/>
        <v>21.260630315157577</v>
      </c>
      <c r="I35" s="2" t="str">
        <f t="shared" si="6"/>
        <v>oignon</v>
      </c>
      <c r="J35" s="49">
        <f t="shared" si="7"/>
        <v>6.1655827913956971</v>
      </c>
      <c r="O35" s="45"/>
      <c r="Q35"/>
    </row>
    <row r="36" spans="1:17">
      <c r="A36" s="439">
        <v>1.5</v>
      </c>
      <c r="B36" s="2" t="s">
        <v>169</v>
      </c>
      <c r="C36" s="273" t="s">
        <v>676</v>
      </c>
      <c r="D36" s="253">
        <v>131</v>
      </c>
      <c r="E36" s="49">
        <f t="shared" si="4"/>
        <v>1.9650000000000001</v>
      </c>
      <c r="F36" s="68"/>
      <c r="G36" s="128"/>
      <c r="H36" s="55">
        <f t="shared" si="5"/>
        <v>1.2756378189094546</v>
      </c>
      <c r="I36" s="2" t="str">
        <f t="shared" si="6"/>
        <v>aïl</v>
      </c>
      <c r="J36" s="49">
        <f t="shared" si="7"/>
        <v>1.6710855427713858</v>
      </c>
      <c r="O36" s="45"/>
      <c r="Q36"/>
    </row>
    <row r="37" spans="1:17">
      <c r="A37" s="439">
        <v>3</v>
      </c>
      <c r="B37" s="2" t="s">
        <v>518</v>
      </c>
      <c r="C37" s="273" t="s">
        <v>676</v>
      </c>
      <c r="D37" s="253">
        <v>52</v>
      </c>
      <c r="E37" s="49">
        <f t="shared" si="4"/>
        <v>1.56</v>
      </c>
      <c r="F37" s="68"/>
      <c r="G37" s="128"/>
      <c r="H37" s="55">
        <f t="shared" si="5"/>
        <v>2.5512756378189092</v>
      </c>
      <c r="I37" s="2" t="str">
        <f t="shared" si="6"/>
        <v xml:space="preserve">sarriette hachée </v>
      </c>
      <c r="J37" s="49">
        <f t="shared" si="7"/>
        <v>1.3266633316658329</v>
      </c>
      <c r="O37" s="45"/>
      <c r="Q37"/>
    </row>
    <row r="38" spans="1:17">
      <c r="A38" s="439">
        <f>250/4</f>
        <v>62.5</v>
      </c>
      <c r="B38" s="2" t="s">
        <v>240</v>
      </c>
      <c r="C38" s="273" t="s">
        <v>676</v>
      </c>
      <c r="D38" s="253">
        <v>19</v>
      </c>
      <c r="E38" s="49">
        <f t="shared" si="4"/>
        <v>11.875</v>
      </c>
      <c r="F38" s="68"/>
      <c r="G38" s="128"/>
      <c r="H38" s="55">
        <f t="shared" si="5"/>
        <v>53.151575787893947</v>
      </c>
      <c r="I38" s="2" t="str">
        <f t="shared" si="6"/>
        <v>tomates</v>
      </c>
      <c r="J38" s="49">
        <f t="shared" si="7"/>
        <v>10.09879939969985</v>
      </c>
      <c r="O38" s="45"/>
      <c r="Q38"/>
    </row>
    <row r="39" spans="1:17">
      <c r="A39" s="439">
        <v>6</v>
      </c>
      <c r="B39" s="2" t="s">
        <v>519</v>
      </c>
      <c r="C39" s="273" t="s">
        <v>676</v>
      </c>
      <c r="D39" s="253">
        <v>47</v>
      </c>
      <c r="E39" s="49">
        <f t="shared" si="4"/>
        <v>2.82</v>
      </c>
      <c r="F39" s="68"/>
      <c r="G39" s="128"/>
      <c r="H39" s="55">
        <f t="shared" si="5"/>
        <v>5.1025512756378184</v>
      </c>
      <c r="I39" s="2" t="str">
        <f t="shared" si="6"/>
        <v xml:space="preserve">purée de tomate </v>
      </c>
      <c r="J39" s="49">
        <f t="shared" si="7"/>
        <v>2.3981990995497746</v>
      </c>
      <c r="O39" s="45"/>
      <c r="Q39"/>
    </row>
    <row r="40" spans="1:17">
      <c r="A40" s="439">
        <f>250/4</f>
        <v>62.5</v>
      </c>
      <c r="B40" s="2" t="s">
        <v>141</v>
      </c>
      <c r="C40" s="273" t="s">
        <v>676</v>
      </c>
      <c r="D40" s="253">
        <v>30</v>
      </c>
      <c r="E40" s="49">
        <f t="shared" si="4"/>
        <v>18.75</v>
      </c>
      <c r="F40" s="68"/>
      <c r="G40" s="128"/>
      <c r="H40" s="55">
        <f t="shared" si="5"/>
        <v>53.151575787893947</v>
      </c>
      <c r="I40" s="2" t="str">
        <f t="shared" si="6"/>
        <v>carottes</v>
      </c>
      <c r="J40" s="49">
        <f t="shared" si="7"/>
        <v>15.945472736368183</v>
      </c>
      <c r="O40" s="45"/>
      <c r="Q40"/>
    </row>
    <row r="41" spans="1:17">
      <c r="A41" s="439">
        <v>62.5</v>
      </c>
      <c r="B41" s="2" t="s">
        <v>523</v>
      </c>
      <c r="C41" s="273" t="s">
        <v>676</v>
      </c>
      <c r="D41" s="253">
        <v>14</v>
      </c>
      <c r="E41" s="49">
        <f t="shared" si="4"/>
        <v>8.75</v>
      </c>
      <c r="F41" s="68"/>
      <c r="G41" s="128"/>
      <c r="H41" s="55">
        <f t="shared" si="5"/>
        <v>53.151575787893947</v>
      </c>
      <c r="I41" s="2" t="str">
        <f t="shared" si="6"/>
        <v>céleri</v>
      </c>
      <c r="J41" s="49">
        <f t="shared" si="7"/>
        <v>7.4412206103051526</v>
      </c>
      <c r="O41" s="45"/>
      <c r="Q41"/>
    </row>
    <row r="42" spans="1:17">
      <c r="A42" s="439">
        <v>250</v>
      </c>
      <c r="B42" s="2" t="s">
        <v>117</v>
      </c>
      <c r="C42" s="273" t="s">
        <v>676</v>
      </c>
      <c r="D42" s="253">
        <v>5</v>
      </c>
      <c r="E42" s="49">
        <f t="shared" si="4"/>
        <v>12.5</v>
      </c>
      <c r="F42" s="68"/>
      <c r="G42" s="128"/>
      <c r="H42" s="55">
        <f t="shared" si="5"/>
        <v>212.60630315157579</v>
      </c>
      <c r="I42" s="2" t="str">
        <f>B42</f>
        <v>bouillon de légumes</v>
      </c>
      <c r="J42" s="49">
        <f>E42*$M$18%</f>
        <v>10.630315157578789</v>
      </c>
      <c r="O42" s="45"/>
      <c r="P42"/>
      <c r="Q42"/>
    </row>
    <row r="43" spans="1:17">
      <c r="A43" s="439">
        <v>1</v>
      </c>
      <c r="B43" s="2" t="s">
        <v>109</v>
      </c>
      <c r="C43" s="197" t="s">
        <v>674</v>
      </c>
      <c r="D43" s="253">
        <v>0</v>
      </c>
      <c r="E43" s="49">
        <f t="shared" si="4"/>
        <v>0</v>
      </c>
      <c r="F43" s="68"/>
      <c r="G43" s="128"/>
      <c r="H43" s="55">
        <f t="shared" si="5"/>
        <v>1</v>
      </c>
      <c r="I43" s="2" t="str">
        <f t="shared" si="6"/>
        <v>sel</v>
      </c>
      <c r="J43" s="49">
        <f t="shared" si="7"/>
        <v>0</v>
      </c>
      <c r="O43" s="45"/>
      <c r="Q43"/>
    </row>
    <row r="44" spans="1:17">
      <c r="A44" s="439">
        <v>0.25</v>
      </c>
      <c r="B44" s="2" t="s">
        <v>441</v>
      </c>
      <c r="C44" s="199" t="s">
        <v>675</v>
      </c>
      <c r="D44" s="253">
        <v>301</v>
      </c>
      <c r="E44" s="49">
        <f t="shared" si="4"/>
        <v>0.75249999999999995</v>
      </c>
      <c r="F44" s="68"/>
      <c r="G44" s="128"/>
      <c r="H44" s="55">
        <f t="shared" si="5"/>
        <v>0.21260630315157578</v>
      </c>
      <c r="I44" s="2" t="str">
        <f t="shared" si="6"/>
        <v>poivre noir</v>
      </c>
      <c r="J44" s="49">
        <f t="shared" si="7"/>
        <v>0.63994497248624305</v>
      </c>
      <c r="O44" s="45"/>
      <c r="Q44"/>
    </row>
    <row r="45" spans="1:17">
      <c r="A45" s="439">
        <v>0.25</v>
      </c>
      <c r="B45" s="2" t="s">
        <v>515</v>
      </c>
      <c r="C45" s="196" t="s">
        <v>673</v>
      </c>
      <c r="D45" s="253">
        <v>376</v>
      </c>
      <c r="E45" s="49">
        <f t="shared" si="4"/>
        <v>0.94</v>
      </c>
      <c r="F45" s="68"/>
      <c r="G45" s="128"/>
      <c r="H45" s="55">
        <f t="shared" si="5"/>
        <v>0.21260630315157575</v>
      </c>
      <c r="I45" s="2" t="str">
        <f t="shared" si="6"/>
        <v xml:space="preserve">poivre de Cayenne </v>
      </c>
      <c r="J45" s="49">
        <f t="shared" si="7"/>
        <v>0.79939969984992487</v>
      </c>
      <c r="O45" s="45"/>
      <c r="Q45"/>
    </row>
    <row r="46" spans="1:17">
      <c r="A46" s="439">
        <v>9</v>
      </c>
      <c r="B46" s="251" t="s">
        <v>517</v>
      </c>
      <c r="C46" s="197" t="s">
        <v>674</v>
      </c>
      <c r="D46" s="253">
        <v>899</v>
      </c>
      <c r="E46" s="49">
        <f t="shared" si="4"/>
        <v>80.91</v>
      </c>
      <c r="F46" s="68"/>
      <c r="G46" s="128"/>
      <c r="H46" s="55">
        <f t="shared" si="5"/>
        <v>7.6538269134567285</v>
      </c>
      <c r="I46" s="2" t="str">
        <f t="shared" si="6"/>
        <v>huile d'olive pimentée</v>
      </c>
      <c r="J46" s="49">
        <f t="shared" si="7"/>
        <v>68.807903951975987</v>
      </c>
      <c r="O46" s="45"/>
      <c r="P46"/>
      <c r="Q46"/>
    </row>
    <row r="47" spans="1:17">
      <c r="A47" s="439">
        <v>62.5</v>
      </c>
      <c r="B47" s="251" t="s">
        <v>102</v>
      </c>
      <c r="C47" s="196" t="s">
        <v>673</v>
      </c>
      <c r="D47" s="253">
        <v>229</v>
      </c>
      <c r="E47" s="49">
        <f t="shared" si="4"/>
        <v>143.125</v>
      </c>
      <c r="F47" s="68"/>
      <c r="G47" s="128"/>
      <c r="H47" s="55">
        <f t="shared" si="5"/>
        <v>53.151575787893947</v>
      </c>
      <c r="I47" s="2" t="str">
        <f t="shared" si="6"/>
        <v>pain complet</v>
      </c>
      <c r="J47" s="49">
        <f t="shared" si="7"/>
        <v>121.71710855427713</v>
      </c>
      <c r="O47" s="45"/>
      <c r="P47"/>
      <c r="Q47"/>
    </row>
    <row r="48" spans="1:17">
      <c r="A48" s="439">
        <v>50</v>
      </c>
      <c r="B48" s="251" t="s">
        <v>466</v>
      </c>
      <c r="C48" s="273" t="s">
        <v>676</v>
      </c>
      <c r="D48" s="253">
        <v>18</v>
      </c>
      <c r="E48" s="49">
        <f t="shared" si="4"/>
        <v>9</v>
      </c>
      <c r="F48" s="68"/>
      <c r="G48" s="128"/>
      <c r="H48" s="55">
        <f t="shared" si="5"/>
        <v>42.521260630315155</v>
      </c>
      <c r="I48" s="2" t="str">
        <f t="shared" si="6"/>
        <v>salade verte</v>
      </c>
      <c r="J48" s="49">
        <f t="shared" si="7"/>
        <v>7.6538269134567276</v>
      </c>
      <c r="O48" s="45"/>
      <c r="P48"/>
      <c r="Q48"/>
    </row>
    <row r="49" spans="1:17">
      <c r="A49" s="439">
        <v>12</v>
      </c>
      <c r="B49" s="251" t="s">
        <v>387</v>
      </c>
      <c r="C49" s="197" t="s">
        <v>674</v>
      </c>
      <c r="D49" s="253">
        <v>472</v>
      </c>
      <c r="E49" s="49">
        <f t="shared" si="4"/>
        <v>56.64</v>
      </c>
      <c r="F49" s="68"/>
      <c r="G49" s="128"/>
      <c r="H49" s="55">
        <f t="shared" si="5"/>
        <v>10.205102551275637</v>
      </c>
      <c r="I49" s="2" t="str">
        <f t="shared" si="6"/>
        <v>sauce italienne</v>
      </c>
      <c r="J49" s="49">
        <f t="shared" si="7"/>
        <v>48.168084042021007</v>
      </c>
      <c r="K49" s="275"/>
      <c r="O49" s="45"/>
      <c r="P49"/>
      <c r="Q49"/>
    </row>
    <row r="50" spans="1:17">
      <c r="A50" s="66" t="s">
        <v>127</v>
      </c>
      <c r="B50" s="63"/>
      <c r="C50" s="202"/>
      <c r="D50" s="63"/>
      <c r="E50" s="64"/>
      <c r="F50" s="18"/>
      <c r="G50" s="43"/>
      <c r="H50" s="65"/>
      <c r="I50" s="63"/>
      <c r="J50" s="67"/>
      <c r="L50" s="154"/>
      <c r="O50" s="45"/>
      <c r="Q50"/>
    </row>
    <row r="51" spans="1:17">
      <c r="A51" s="439">
        <v>150</v>
      </c>
      <c r="B51" s="251" t="s">
        <v>261</v>
      </c>
      <c r="C51" s="199" t="s">
        <v>675</v>
      </c>
      <c r="D51" s="253">
        <v>53</v>
      </c>
      <c r="E51" s="49">
        <f>D51/100*A51</f>
        <v>79.5</v>
      </c>
      <c r="F51" s="18"/>
      <c r="G51" s="43"/>
      <c r="H51" s="55">
        <f>IF(E51=0,A51,A51/E51*J51)</f>
        <v>127.56378189094548</v>
      </c>
      <c r="I51" s="56" t="str">
        <f t="shared" si="6"/>
        <v>poire</v>
      </c>
      <c r="J51" s="49">
        <f t="shared" si="7"/>
        <v>67.608804402201102</v>
      </c>
      <c r="K51" s="275"/>
      <c r="O51" s="45"/>
      <c r="P51"/>
      <c r="Q51"/>
    </row>
    <row r="52" spans="1:17">
      <c r="A52" s="42"/>
      <c r="B52" s="131"/>
      <c r="C52" s="200"/>
      <c r="E52" s="130" t="s">
        <v>6</v>
      </c>
      <c r="F52" s="138">
        <f>SUM(E33:E51)</f>
        <v>545.08749999999998</v>
      </c>
      <c r="G52" s="128"/>
      <c r="H52" s="42"/>
      <c r="I52" s="131"/>
      <c r="J52" s="130" t="s">
        <v>6</v>
      </c>
      <c r="K52" s="336">
        <f>SUM(J33:J51)</f>
        <v>463.55615307653818</v>
      </c>
      <c r="O52" s="45"/>
      <c r="Q52"/>
    </row>
    <row r="53" spans="1:17" ht="6" customHeight="1">
      <c r="A53" s="17"/>
      <c r="B53" s="17"/>
      <c r="C53" s="188"/>
      <c r="D53" s="68"/>
      <c r="E53" s="17"/>
      <c r="F53" s="18"/>
      <c r="G53" s="43"/>
      <c r="H53" s="17"/>
      <c r="I53" s="17"/>
      <c r="J53" s="17"/>
      <c r="O53" s="45"/>
      <c r="P53"/>
      <c r="Q53"/>
    </row>
    <row r="54" spans="1:17">
      <c r="A54" s="216" t="s">
        <v>228</v>
      </c>
      <c r="B54" s="16"/>
      <c r="C54" s="209"/>
      <c r="D54" s="17"/>
      <c r="E54" s="17"/>
      <c r="F54" s="18"/>
      <c r="G54" s="43"/>
      <c r="H54" s="17"/>
      <c r="I54" s="17"/>
      <c r="J54" s="17"/>
      <c r="L54" s="154"/>
      <c r="P54"/>
      <c r="Q54"/>
    </row>
    <row r="55" spans="1:17">
      <c r="A55" s="438">
        <v>40</v>
      </c>
      <c r="B55" s="2" t="s">
        <v>374</v>
      </c>
      <c r="C55" s="197" t="s">
        <v>674</v>
      </c>
      <c r="D55" s="51">
        <v>378</v>
      </c>
      <c r="E55" s="49">
        <f>D55/100*A55</f>
        <v>151.19999999999999</v>
      </c>
      <c r="F55" s="18"/>
      <c r="G55" s="43"/>
      <c r="H55" s="55">
        <f>IF(E55=0,A55,A55/E55*J55)</f>
        <v>34.017008504252125</v>
      </c>
      <c r="I55" s="2" t="str">
        <f>B55</f>
        <v>barre de céréales aux fruits</v>
      </c>
      <c r="J55" s="49">
        <f>E55*$M$18%</f>
        <v>128.58429214607301</v>
      </c>
      <c r="L55" s="154"/>
    </row>
    <row r="56" spans="1:17">
      <c r="A56" s="42"/>
      <c r="B56" s="157"/>
      <c r="C56" s="272"/>
      <c r="E56" s="130" t="s">
        <v>6</v>
      </c>
      <c r="F56" s="314">
        <f>SUM(E55:E55)</f>
        <v>151.19999999999999</v>
      </c>
      <c r="G56" s="140"/>
      <c r="H56" s="42"/>
      <c r="I56" s="131"/>
      <c r="J56" s="130" t="s">
        <v>6</v>
      </c>
      <c r="K56" s="336">
        <f>SUM(J55:J55)</f>
        <v>128.58429214607301</v>
      </c>
      <c r="O56" s="45"/>
      <c r="Q56"/>
    </row>
    <row r="57" spans="1:17">
      <c r="A57" s="216" t="s">
        <v>226</v>
      </c>
      <c r="B57" s="16"/>
      <c r="C57" s="209"/>
      <c r="D57" s="17"/>
      <c r="E57" s="17"/>
      <c r="F57" s="18"/>
      <c r="G57" s="43"/>
      <c r="H57" s="17"/>
      <c r="I57" s="17"/>
      <c r="J57" s="17"/>
      <c r="P57"/>
      <c r="Q57"/>
    </row>
    <row r="58" spans="1:17">
      <c r="A58" s="66" t="s">
        <v>513</v>
      </c>
      <c r="B58" s="257"/>
      <c r="C58" s="323"/>
      <c r="D58" s="257"/>
      <c r="E58" s="257"/>
      <c r="F58" s="257"/>
      <c r="G58" s="257"/>
      <c r="H58" s="257"/>
      <c r="I58" s="257"/>
      <c r="J58" s="258"/>
      <c r="O58" s="45"/>
      <c r="Q58"/>
    </row>
    <row r="59" spans="1:17">
      <c r="A59" s="439">
        <v>5</v>
      </c>
      <c r="B59" s="2" t="s">
        <v>524</v>
      </c>
      <c r="C59" s="273" t="s">
        <v>676</v>
      </c>
      <c r="D59" s="253">
        <v>35</v>
      </c>
      <c r="E59" s="49">
        <f t="shared" ref="E59:E70" si="8">D59/100*A59</f>
        <v>1.75</v>
      </c>
      <c r="F59" s="68"/>
      <c r="G59" s="128"/>
      <c r="H59" s="55">
        <f t="shared" ref="H59:H70" si="9">IF(E59=0,A59,A59/E59*J59)</f>
        <v>4.2521260630315156</v>
      </c>
      <c r="I59" s="2" t="str">
        <f t="shared" ref="I59:I70" si="10">B59</f>
        <v xml:space="preserve"> échalote</v>
      </c>
      <c r="J59" s="49">
        <f t="shared" ref="J59:J78" si="11">E59*$M$18%</f>
        <v>1.4882441220610305</v>
      </c>
      <c r="O59" s="45"/>
      <c r="P59"/>
      <c r="Q59"/>
    </row>
    <row r="60" spans="1:17">
      <c r="A60" s="439">
        <v>3</v>
      </c>
      <c r="B60" s="2" t="s">
        <v>0</v>
      </c>
      <c r="C60" s="197" t="s">
        <v>674</v>
      </c>
      <c r="D60" s="253">
        <v>747</v>
      </c>
      <c r="E60" s="49">
        <f t="shared" si="8"/>
        <v>22.41</v>
      </c>
      <c r="F60" s="68"/>
      <c r="G60" s="128"/>
      <c r="H60" s="55">
        <f t="shared" si="9"/>
        <v>2.5512756378189092</v>
      </c>
      <c r="I60" s="2" t="str">
        <f t="shared" si="10"/>
        <v>beurre</v>
      </c>
      <c r="J60" s="49">
        <f t="shared" si="11"/>
        <v>19.058029014507252</v>
      </c>
      <c r="O60" s="45"/>
      <c r="P60"/>
      <c r="Q60"/>
    </row>
    <row r="61" spans="1:17">
      <c r="A61" s="439">
        <v>75</v>
      </c>
      <c r="B61" s="2" t="s">
        <v>357</v>
      </c>
      <c r="C61" s="196" t="s">
        <v>673</v>
      </c>
      <c r="D61" s="253">
        <v>349</v>
      </c>
      <c r="E61" s="49">
        <f t="shared" si="8"/>
        <v>261.75</v>
      </c>
      <c r="F61" s="68"/>
      <c r="G61" s="128"/>
      <c r="H61" s="55">
        <f t="shared" si="9"/>
        <v>63.781890945472725</v>
      </c>
      <c r="I61" s="2" t="str">
        <f t="shared" si="10"/>
        <v>riz pour risotto</v>
      </c>
      <c r="J61" s="49">
        <f t="shared" si="11"/>
        <v>222.59879939969983</v>
      </c>
      <c r="O61" s="45"/>
      <c r="P61"/>
      <c r="Q61"/>
    </row>
    <row r="62" spans="1:17">
      <c r="A62" s="439"/>
      <c r="B62" s="2" t="s">
        <v>516</v>
      </c>
      <c r="C62" s="276"/>
      <c r="D62" s="253"/>
      <c r="E62" s="49">
        <f t="shared" si="8"/>
        <v>0</v>
      </c>
      <c r="F62" s="68"/>
      <c r="G62" s="128"/>
      <c r="H62" s="55">
        <f t="shared" si="9"/>
        <v>0</v>
      </c>
      <c r="I62" s="2" t="str">
        <f t="shared" si="10"/>
        <v>3 dl de chardonnay</v>
      </c>
      <c r="J62" s="49">
        <f t="shared" si="11"/>
        <v>0</v>
      </c>
      <c r="O62" s="45"/>
      <c r="P62"/>
      <c r="Q62"/>
    </row>
    <row r="63" spans="1:17">
      <c r="A63" s="439">
        <f>700/4</f>
        <v>175</v>
      </c>
      <c r="B63" s="2" t="s">
        <v>525</v>
      </c>
      <c r="C63" s="273" t="s">
        <v>676</v>
      </c>
      <c r="D63" s="253">
        <v>60</v>
      </c>
      <c r="E63" s="49">
        <f t="shared" si="8"/>
        <v>105</v>
      </c>
      <c r="F63" s="68"/>
      <c r="G63" s="128"/>
      <c r="H63" s="55">
        <f t="shared" si="9"/>
        <v>148.82441220610303</v>
      </c>
      <c r="I63" s="2" t="str">
        <f t="shared" si="10"/>
        <v>fumet de poisson</v>
      </c>
      <c r="J63" s="49">
        <f t="shared" si="11"/>
        <v>89.29464732366182</v>
      </c>
      <c r="O63" s="45"/>
      <c r="P63"/>
      <c r="Q63"/>
    </row>
    <row r="64" spans="1:17">
      <c r="A64" s="439">
        <v>25</v>
      </c>
      <c r="B64" s="2" t="s">
        <v>526</v>
      </c>
      <c r="C64" s="197" t="s">
        <v>674</v>
      </c>
      <c r="D64" s="253">
        <v>335</v>
      </c>
      <c r="E64" s="49">
        <f t="shared" si="8"/>
        <v>83.75</v>
      </c>
      <c r="F64" s="68"/>
      <c r="G64" s="128"/>
      <c r="H64" s="55">
        <f t="shared" si="9"/>
        <v>21.260630315157577</v>
      </c>
      <c r="I64" s="2" t="str">
        <f t="shared" si="10"/>
        <v>crème acidulée</v>
      </c>
      <c r="J64" s="49">
        <f t="shared" si="11"/>
        <v>71.223111555777891</v>
      </c>
      <c r="O64" s="45"/>
      <c r="P64"/>
      <c r="Q64"/>
    </row>
    <row r="65" spans="1:17">
      <c r="A65" s="439">
        <v>4</v>
      </c>
      <c r="B65" s="2" t="s">
        <v>379</v>
      </c>
      <c r="C65" s="273" t="s">
        <v>676</v>
      </c>
      <c r="D65" s="253">
        <v>25</v>
      </c>
      <c r="E65" s="49">
        <f t="shared" si="8"/>
        <v>1</v>
      </c>
      <c r="F65" s="68"/>
      <c r="G65" s="128"/>
      <c r="H65" s="55">
        <f t="shared" si="9"/>
        <v>3.4017008504252124</v>
      </c>
      <c r="I65" s="2" t="str">
        <f t="shared" si="10"/>
        <v>ciboulette</v>
      </c>
      <c r="J65" s="49">
        <f t="shared" si="11"/>
        <v>0.8504252126063031</v>
      </c>
      <c r="O65" s="45"/>
      <c r="P65"/>
      <c r="Q65"/>
    </row>
    <row r="66" spans="1:17">
      <c r="A66" s="439">
        <v>3</v>
      </c>
      <c r="B66" s="2" t="s">
        <v>196</v>
      </c>
      <c r="C66" s="273" t="s">
        <v>676</v>
      </c>
      <c r="D66" s="253">
        <v>43</v>
      </c>
      <c r="E66" s="49">
        <f t="shared" si="8"/>
        <v>1.29</v>
      </c>
      <c r="F66" s="68"/>
      <c r="G66" s="128"/>
      <c r="H66" s="55">
        <f t="shared" si="9"/>
        <v>2.5512756378189096</v>
      </c>
      <c r="I66" s="2" t="str">
        <f t="shared" si="10"/>
        <v>aneth</v>
      </c>
      <c r="J66" s="49">
        <f t="shared" si="11"/>
        <v>1.0970485242621311</v>
      </c>
      <c r="O66" s="45"/>
      <c r="P66"/>
      <c r="Q66"/>
    </row>
    <row r="67" spans="1:17">
      <c r="A67" s="439">
        <v>75</v>
      </c>
      <c r="B67" s="2" t="s">
        <v>194</v>
      </c>
      <c r="C67" s="196" t="s">
        <v>673</v>
      </c>
      <c r="D67" s="253">
        <v>184</v>
      </c>
      <c r="E67" s="49">
        <f t="shared" si="8"/>
        <v>138</v>
      </c>
      <c r="F67" s="68"/>
      <c r="G67" s="128"/>
      <c r="H67" s="55">
        <f t="shared" si="9"/>
        <v>63.781890945472732</v>
      </c>
      <c r="I67" s="2" t="str">
        <f t="shared" si="10"/>
        <v>saumon fumé</v>
      </c>
      <c r="J67" s="49">
        <f t="shared" si="11"/>
        <v>117.35867933966983</v>
      </c>
      <c r="L67" s="154"/>
      <c r="O67" s="45"/>
      <c r="P67"/>
      <c r="Q67"/>
    </row>
    <row r="68" spans="1:17">
      <c r="A68" s="439">
        <v>75</v>
      </c>
      <c r="B68" s="2" t="s">
        <v>527</v>
      </c>
      <c r="C68" s="273" t="s">
        <v>676</v>
      </c>
      <c r="D68" s="253">
        <v>27</v>
      </c>
      <c r="E68" s="49">
        <f t="shared" si="8"/>
        <v>20.25</v>
      </c>
      <c r="F68" s="68"/>
      <c r="G68" s="128"/>
      <c r="H68" s="55">
        <f t="shared" si="9"/>
        <v>63.781890945472732</v>
      </c>
      <c r="I68" s="2" t="str">
        <f t="shared" si="10"/>
        <v>asperges vertes</v>
      </c>
      <c r="J68" s="49">
        <f t="shared" si="11"/>
        <v>17.221110555277637</v>
      </c>
      <c r="L68" s="154"/>
      <c r="O68" s="45"/>
      <c r="P68"/>
      <c r="Q68"/>
    </row>
    <row r="69" spans="1:17">
      <c r="A69" s="439">
        <v>0.75</v>
      </c>
      <c r="B69" s="2" t="s">
        <v>109</v>
      </c>
      <c r="C69" s="197" t="s">
        <v>674</v>
      </c>
      <c r="D69" s="253">
        <v>0</v>
      </c>
      <c r="E69" s="49">
        <f t="shared" si="8"/>
        <v>0</v>
      </c>
      <c r="F69" s="68"/>
      <c r="G69" s="128"/>
      <c r="H69" s="55">
        <f t="shared" si="9"/>
        <v>0.75</v>
      </c>
      <c r="I69" s="2" t="str">
        <f t="shared" si="10"/>
        <v>sel</v>
      </c>
      <c r="J69" s="49">
        <f t="shared" si="11"/>
        <v>0</v>
      </c>
      <c r="L69" s="154"/>
      <c r="O69" s="45"/>
      <c r="P69"/>
      <c r="Q69"/>
    </row>
    <row r="70" spans="1:17">
      <c r="A70" s="439">
        <v>0.25</v>
      </c>
      <c r="B70" s="2" t="s">
        <v>116</v>
      </c>
      <c r="C70" s="199" t="s">
        <v>675</v>
      </c>
      <c r="D70" s="253">
        <v>249</v>
      </c>
      <c r="E70" s="49">
        <f t="shared" si="8"/>
        <v>0.62250000000000005</v>
      </c>
      <c r="F70" s="68"/>
      <c r="G70" s="128"/>
      <c r="H70" s="55">
        <f t="shared" si="9"/>
        <v>0.21260630315157575</v>
      </c>
      <c r="I70" s="2" t="str">
        <f t="shared" si="10"/>
        <v>poivre</v>
      </c>
      <c r="J70" s="49">
        <f t="shared" si="11"/>
        <v>0.52938969484742371</v>
      </c>
      <c r="L70" s="154"/>
      <c r="O70" s="45"/>
      <c r="P70"/>
      <c r="Q70"/>
    </row>
    <row r="71" spans="1:17">
      <c r="A71" s="42"/>
      <c r="B71" s="131"/>
      <c r="C71" s="201"/>
      <c r="E71" s="130" t="s">
        <v>6</v>
      </c>
      <c r="F71" s="313">
        <f>SUM(E59:E70)</f>
        <v>635.82249999999999</v>
      </c>
      <c r="G71" s="140"/>
      <c r="H71" s="42"/>
      <c r="I71" s="131"/>
      <c r="J71" s="130" t="s">
        <v>6</v>
      </c>
      <c r="K71" s="336">
        <f>SUM(J59:J70)</f>
        <v>540.71948474237115</v>
      </c>
      <c r="L71" s="154"/>
      <c r="O71" s="45"/>
      <c r="Q71"/>
    </row>
    <row r="72" spans="1:17">
      <c r="A72" s="66" t="s">
        <v>520</v>
      </c>
      <c r="B72" s="257"/>
      <c r="C72" s="323"/>
      <c r="D72" s="257"/>
      <c r="E72" s="257"/>
      <c r="F72" s="259"/>
      <c r="G72" s="260"/>
      <c r="H72" s="257"/>
      <c r="I72" s="257"/>
      <c r="J72" s="258"/>
      <c r="L72" s="154"/>
      <c r="O72" s="45"/>
      <c r="Q72"/>
    </row>
    <row r="73" spans="1:17">
      <c r="A73" s="439">
        <v>5</v>
      </c>
      <c r="B73" s="2" t="s">
        <v>528</v>
      </c>
      <c r="C73" s="273" t="s">
        <v>676</v>
      </c>
      <c r="D73" s="253">
        <v>51</v>
      </c>
      <c r="E73" s="49">
        <f t="shared" ref="E73:E76" si="12">D73/100*A73</f>
        <v>2.5499999999999998</v>
      </c>
      <c r="F73" s="68"/>
      <c r="G73" s="128"/>
      <c r="H73" s="55">
        <f>IF(E73=0,A73,A73/E73*J73)</f>
        <v>4.2521260630315156</v>
      </c>
      <c r="I73" s="2" t="str">
        <f>B73</f>
        <v xml:space="preserve">zeste de citron bio </v>
      </c>
      <c r="J73" s="49">
        <f t="shared" si="11"/>
        <v>2.1685842921460727</v>
      </c>
      <c r="K73" s="241"/>
      <c r="L73" s="154"/>
      <c r="O73" s="45"/>
      <c r="P73"/>
      <c r="Q73"/>
    </row>
    <row r="74" spans="1:17">
      <c r="A74" s="439">
        <f>150/4</f>
        <v>37.5</v>
      </c>
      <c r="B74" s="2" t="s">
        <v>529</v>
      </c>
      <c r="C74" s="197" t="s">
        <v>674</v>
      </c>
      <c r="D74" s="253">
        <v>323</v>
      </c>
      <c r="E74" s="49">
        <f t="shared" si="12"/>
        <v>121.125</v>
      </c>
      <c r="F74" s="68"/>
      <c r="G74" s="128"/>
      <c r="H74" s="55">
        <f t="shared" ref="H74:H76" si="13">IF(E74=0,A74,A74/E74*J74)</f>
        <v>31.890945472736369</v>
      </c>
      <c r="I74" s="2" t="str">
        <f t="shared" ref="I74:I76" si="14">B74</f>
        <v>crème à battre</v>
      </c>
      <c r="J74" s="49">
        <f t="shared" si="11"/>
        <v>103.00775387693847</v>
      </c>
      <c r="K74" s="241"/>
      <c r="O74" s="45"/>
      <c r="P74"/>
      <c r="Q74"/>
    </row>
    <row r="75" spans="1:17">
      <c r="A75" s="439">
        <v>40</v>
      </c>
      <c r="B75" s="2" t="s">
        <v>530</v>
      </c>
      <c r="C75" s="197" t="s">
        <v>674</v>
      </c>
      <c r="D75" s="253">
        <v>474</v>
      </c>
      <c r="E75" s="49">
        <f t="shared" si="12"/>
        <v>189.60000000000002</v>
      </c>
      <c r="F75" s="68"/>
      <c r="G75" s="128"/>
      <c r="H75" s="55">
        <f t="shared" si="13"/>
        <v>34.017008504252125</v>
      </c>
      <c r="I75" s="2" t="str">
        <f t="shared" si="14"/>
        <v>biscuits sablés</v>
      </c>
      <c r="J75" s="49">
        <f t="shared" si="11"/>
        <v>161.24062031015509</v>
      </c>
      <c r="K75" s="241"/>
      <c r="O75" s="45"/>
      <c r="P75"/>
      <c r="Q75"/>
    </row>
    <row r="76" spans="1:17">
      <c r="A76" s="439">
        <f>125/4</f>
        <v>31.25</v>
      </c>
      <c r="B76" s="2" t="s">
        <v>531</v>
      </c>
      <c r="C76" s="273" t="s">
        <v>676</v>
      </c>
      <c r="D76" s="253">
        <v>38</v>
      </c>
      <c r="E76" s="49">
        <f t="shared" si="12"/>
        <v>11.875</v>
      </c>
      <c r="F76" s="68"/>
      <c r="G76" s="128"/>
      <c r="H76" s="55">
        <f t="shared" si="13"/>
        <v>26.575787893946973</v>
      </c>
      <c r="I76" s="2" t="str">
        <f t="shared" si="14"/>
        <v>framboises</v>
      </c>
      <c r="J76" s="49">
        <f t="shared" si="11"/>
        <v>10.09879939969985</v>
      </c>
      <c r="K76" s="241"/>
      <c r="O76" s="45"/>
      <c r="P76"/>
      <c r="Q76"/>
    </row>
    <row r="77" spans="1:17">
      <c r="A77" s="42"/>
      <c r="B77" s="131"/>
      <c r="C77" s="201"/>
      <c r="E77" s="143" t="s">
        <v>6</v>
      </c>
      <c r="F77" s="274">
        <f>SUM(E73:E76)</f>
        <v>325.15000000000003</v>
      </c>
      <c r="G77" s="25"/>
      <c r="H77" s="42"/>
      <c r="I77" s="131"/>
      <c r="J77" s="143" t="s">
        <v>6</v>
      </c>
      <c r="K77" s="336">
        <f>SUM(J73:J76)</f>
        <v>276.51575787893944</v>
      </c>
      <c r="O77" s="45"/>
      <c r="Q77"/>
    </row>
    <row r="78" spans="1:17">
      <c r="A78" s="54">
        <f>IF(D5="non",0,IF(D5="1 verre",125,250))</f>
        <v>0</v>
      </c>
      <c r="B78" s="2" t="str">
        <f>IF(A78=0,"","vin")</f>
        <v/>
      </c>
      <c r="C78" s="203"/>
      <c r="D78" s="51">
        <v>80</v>
      </c>
      <c r="E78" s="49">
        <f>D78/100*A78</f>
        <v>0</v>
      </c>
      <c r="G78" s="142"/>
      <c r="H78" s="55">
        <f>IF(E78=0,A78,A78/E78*J78)</f>
        <v>0</v>
      </c>
      <c r="I78" s="2" t="str">
        <f>B78</f>
        <v/>
      </c>
      <c r="J78" s="49">
        <f t="shared" si="11"/>
        <v>0</v>
      </c>
      <c r="K78" s="335"/>
      <c r="O78" s="45"/>
      <c r="P78"/>
      <c r="Q78"/>
    </row>
    <row r="79" spans="1:17" ht="6" customHeight="1">
      <c r="A79" s="17"/>
      <c r="B79" s="17"/>
      <c r="C79" s="188"/>
      <c r="D79" s="68"/>
      <c r="E79" s="17"/>
      <c r="F79" s="18"/>
      <c r="G79" s="204"/>
      <c r="H79" s="17"/>
      <c r="I79" s="17"/>
      <c r="J79" s="17"/>
      <c r="K79" s="335"/>
      <c r="P79"/>
      <c r="Q79"/>
    </row>
    <row r="80" spans="1:17">
      <c r="A80" s="17"/>
      <c r="B80" s="17"/>
      <c r="C80" s="188"/>
      <c r="D80" s="69" t="s">
        <v>129</v>
      </c>
      <c r="F80" s="146">
        <f>SUM(F22:F77)</f>
        <v>1999.4950000000001</v>
      </c>
      <c r="G80" s="204"/>
      <c r="H80" s="17"/>
      <c r="I80" s="69" t="s">
        <v>129</v>
      </c>
      <c r="K80" s="337">
        <f>SUM(K22:K77)</f>
        <v>1700.42096048024</v>
      </c>
      <c r="P80"/>
      <c r="Q80"/>
    </row>
    <row r="81" spans="1:17">
      <c r="A81" s="17"/>
      <c r="B81" s="17"/>
      <c r="C81" s="188"/>
      <c r="D81" s="18" t="s">
        <v>130</v>
      </c>
      <c r="E81" s="25"/>
      <c r="F81" s="144">
        <f>F80+E78</f>
        <v>1999.4950000000001</v>
      </c>
      <c r="G81" s="43"/>
      <c r="H81" s="42"/>
      <c r="I81" s="18" t="s">
        <v>130</v>
      </c>
      <c r="J81" s="25"/>
      <c r="K81" s="336">
        <f>K80+J78</f>
        <v>1700.42096048024</v>
      </c>
      <c r="P81"/>
      <c r="Q81"/>
    </row>
    <row r="82" spans="1:17">
      <c r="A82" s="17"/>
      <c r="B82" s="16"/>
      <c r="C82" s="188"/>
      <c r="D82" s="17"/>
      <c r="E82" s="17"/>
      <c r="F82" s="205"/>
      <c r="G82" s="43"/>
      <c r="H82" s="17"/>
      <c r="I82" s="17"/>
      <c r="J82" s="17"/>
      <c r="P82"/>
      <c r="Q82"/>
    </row>
    <row r="83" spans="1:17" ht="19">
      <c r="A83" s="118" t="s">
        <v>100</v>
      </c>
      <c r="B83" s="491" t="s">
        <v>99</v>
      </c>
      <c r="C83" s="491"/>
      <c r="D83" s="17"/>
      <c r="E83" s="17"/>
      <c r="F83" s="18"/>
      <c r="G83" s="18"/>
      <c r="H83" s="17"/>
      <c r="I83" s="17"/>
      <c r="J83" s="17"/>
      <c r="P83"/>
      <c r="Q83"/>
    </row>
    <row r="84" spans="1:17" ht="409" customHeight="1">
      <c r="A84" s="17"/>
      <c r="B84" s="16"/>
      <c r="C84" s="228"/>
      <c r="D84" s="17"/>
      <c r="E84" s="17"/>
      <c r="F84" s="18"/>
      <c r="G84" s="18"/>
      <c r="H84" s="17"/>
      <c r="I84" s="17"/>
      <c r="J84" s="17"/>
      <c r="K84" s="18"/>
      <c r="P84"/>
      <c r="Q84"/>
    </row>
    <row r="85" spans="1:17">
      <c r="A85" s="17"/>
      <c r="B85" s="16"/>
      <c r="C85" s="188"/>
      <c r="D85" s="17"/>
      <c r="E85" s="17"/>
      <c r="F85" s="18"/>
      <c r="G85" s="18"/>
      <c r="H85" s="17"/>
      <c r="I85" s="17"/>
      <c r="J85" s="17"/>
      <c r="P85"/>
      <c r="Q85"/>
    </row>
    <row r="86" spans="1:17">
      <c r="A86" s="17"/>
      <c r="B86" s="16"/>
      <c r="C86" s="188"/>
      <c r="D86" s="17"/>
      <c r="E86" s="17"/>
      <c r="F86" s="18"/>
      <c r="G86" s="18"/>
      <c r="H86" s="17"/>
      <c r="I86" s="17"/>
      <c r="J86" s="17"/>
      <c r="P86"/>
      <c r="Q86"/>
    </row>
    <row r="87" spans="1:17">
      <c r="F87" s="18"/>
      <c r="G87" s="18"/>
      <c r="N87"/>
      <c r="O87"/>
      <c r="P87"/>
      <c r="Q87"/>
    </row>
    <row r="88" spans="1:17">
      <c r="F88" s="206"/>
      <c r="N88"/>
      <c r="O88"/>
      <c r="P88"/>
      <c r="Q88"/>
    </row>
    <row r="89" spans="1:17">
      <c r="B89"/>
      <c r="N89"/>
      <c r="O89"/>
      <c r="P89"/>
      <c r="Q89"/>
    </row>
    <row r="90" spans="1:17">
      <c r="B90"/>
      <c r="N90"/>
      <c r="O90"/>
      <c r="P90"/>
      <c r="Q90"/>
    </row>
    <row r="91" spans="1:17">
      <c r="B91"/>
      <c r="N91"/>
      <c r="O91"/>
      <c r="P91"/>
      <c r="Q91"/>
    </row>
    <row r="92" spans="1:17">
      <c r="B92"/>
      <c r="N92"/>
      <c r="O92"/>
      <c r="P92"/>
      <c r="Q92"/>
    </row>
    <row r="93" spans="1:17">
      <c r="B93"/>
      <c r="N93"/>
      <c r="O93"/>
      <c r="P93"/>
      <c r="Q93"/>
    </row>
    <row r="94" spans="1:17">
      <c r="B94"/>
      <c r="N94"/>
      <c r="O94"/>
      <c r="P94"/>
      <c r="Q94"/>
    </row>
    <row r="95" spans="1:17">
      <c r="B95"/>
      <c r="N95"/>
      <c r="O95"/>
      <c r="P95"/>
      <c r="Q95"/>
    </row>
    <row r="96" spans="1:17">
      <c r="B96"/>
      <c r="N96"/>
      <c r="O96"/>
      <c r="P96"/>
      <c r="Q96"/>
    </row>
    <row r="97" spans="2:17">
      <c r="B97"/>
      <c r="N97"/>
      <c r="O97"/>
      <c r="P97"/>
      <c r="Q97"/>
    </row>
    <row r="98" spans="2:17">
      <c r="B98"/>
      <c r="N98"/>
      <c r="O98"/>
      <c r="P98"/>
      <c r="Q98"/>
    </row>
    <row r="99" spans="2:17">
      <c r="B99"/>
      <c r="N99"/>
      <c r="O99"/>
      <c r="P99"/>
      <c r="Q99"/>
    </row>
    <row r="100" spans="2:17">
      <c r="B100"/>
      <c r="N100"/>
      <c r="O100"/>
      <c r="P100"/>
      <c r="Q100"/>
    </row>
    <row r="101" spans="2:17">
      <c r="B101"/>
      <c r="N101"/>
      <c r="O101"/>
      <c r="P101"/>
      <c r="Q101"/>
    </row>
    <row r="102" spans="2:17">
      <c r="B102"/>
      <c r="N102"/>
      <c r="O102"/>
      <c r="P102"/>
      <c r="Q102"/>
    </row>
    <row r="103" spans="2:17">
      <c r="B103"/>
      <c r="F103"/>
      <c r="G103"/>
      <c r="K103" s="235"/>
      <c r="N103"/>
      <c r="O103"/>
      <c r="P103"/>
      <c r="Q103"/>
    </row>
    <row r="104" spans="2:17">
      <c r="B104"/>
      <c r="F104"/>
      <c r="G104"/>
      <c r="K104" s="235"/>
      <c r="N104"/>
      <c r="O104"/>
      <c r="P104"/>
      <c r="Q104"/>
    </row>
    <row r="105" spans="2:17">
      <c r="B105"/>
      <c r="F105"/>
      <c r="G105"/>
      <c r="K105" s="235"/>
      <c r="N105"/>
      <c r="O105"/>
      <c r="P105"/>
      <c r="Q105"/>
    </row>
    <row r="106" spans="2:17">
      <c r="B106"/>
      <c r="F106"/>
      <c r="G106"/>
      <c r="K106" s="235"/>
      <c r="N106"/>
      <c r="O106"/>
      <c r="P106"/>
      <c r="Q106"/>
    </row>
    <row r="107" spans="2:17">
      <c r="B107"/>
      <c r="F107"/>
      <c r="G107"/>
      <c r="K107" s="235"/>
      <c r="N107"/>
      <c r="O107"/>
      <c r="P107"/>
      <c r="Q107"/>
    </row>
  </sheetData>
  <sheetProtection password="A5F4" sheet="1" objects="1" scenarios="1" selectLockedCells="1"/>
  <mergeCells count="8">
    <mergeCell ref="B83:C83"/>
    <mergeCell ref="D8:J8"/>
    <mergeCell ref="B15:J15"/>
    <mergeCell ref="A18:A19"/>
    <mergeCell ref="B18:B19"/>
    <mergeCell ref="D18:E18"/>
    <mergeCell ref="H18:H19"/>
    <mergeCell ref="I18:I19"/>
  </mergeCells>
  <dataValidations count="1">
    <dataValidation allowBlank="1" showErrorMessage="1" promptTitle="Modification des quantités" prompt="Vous pouvez diminuer ou augmenter la quantité,._x000d_Si vous désirez supprimer l'aliment, inscrivez 0 (zéro)." sqref="A55"/>
  </dataValidations>
  <hyperlinks>
    <hyperlink ref="B83" location="sommaire!A1" display="RETOUR AU SOMMAIRE"/>
    <hyperlink ref="C83" location="sommaire!A1" display="sommaire!A1"/>
  </hyperlinks>
  <pageMargins left="0.75" right="0.75" top="1" bottom="1" header="0.5" footer="0.5"/>
  <ignoredErrors>
    <ignoredError sqref="K80 K52" emptyCellReference="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2"/>
  <sheetViews>
    <sheetView workbookViewId="0">
      <selection activeCell="D5" sqref="D5"/>
    </sheetView>
  </sheetViews>
  <sheetFormatPr baseColWidth="10" defaultRowHeight="15" x14ac:dyDescent="0"/>
  <cols>
    <col min="1" max="1" width="6.33203125" customWidth="1"/>
    <col min="2" max="2" width="29.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756</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ROUND(F75,0)</f>
        <v>1997</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297</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D3+E73-D11</f>
        <v>297</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12"/>
      <c r="D18" s="481" t="s">
        <v>7</v>
      </c>
      <c r="E18" s="482"/>
      <c r="F18" s="18"/>
      <c r="G18" s="43"/>
      <c r="H18" s="487" t="str">
        <f>A18</f>
        <v>g/cl</v>
      </c>
      <c r="I18" s="489" t="str">
        <f>B18</f>
        <v>Ingrédients</v>
      </c>
      <c r="J18" s="70" t="s">
        <v>7</v>
      </c>
      <c r="M18" s="411">
        <f>100-(D12/((D11+D12)/100))</f>
        <v>85.127691537305964</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244</v>
      </c>
      <c r="B21" s="16"/>
      <c r="C21" s="209"/>
      <c r="D21" s="17"/>
      <c r="E21" s="17"/>
      <c r="F21" s="18"/>
      <c r="G21" s="43"/>
      <c r="H21" s="17"/>
      <c r="I21" s="17"/>
      <c r="J21" s="17"/>
      <c r="L21" s="154"/>
      <c r="P21"/>
      <c r="Q21"/>
    </row>
    <row r="22" spans="1:17">
      <c r="A22" s="438">
        <v>50</v>
      </c>
      <c r="B22" s="107" t="s">
        <v>160</v>
      </c>
      <c r="C22" s="196" t="s">
        <v>673</v>
      </c>
      <c r="D22" s="164">
        <v>382</v>
      </c>
      <c r="E22" s="49">
        <f t="shared" ref="E22:E27" si="0">D22/100*A22</f>
        <v>191</v>
      </c>
      <c r="F22" s="18"/>
      <c r="G22" s="43"/>
      <c r="H22" s="55">
        <f t="shared" ref="H22:H27" si="1">IF(E22=0,A22,A22/E22*J22)</f>
        <v>42.563845768652982</v>
      </c>
      <c r="I22" s="2" t="str">
        <f t="shared" ref="I22:I27" si="2">B22</f>
        <v>céréales au miel</v>
      </c>
      <c r="J22" s="49">
        <f>E22*$M$18%</f>
        <v>162.59389083625439</v>
      </c>
      <c r="M22" s="411"/>
      <c r="Q22"/>
    </row>
    <row r="23" spans="1:17">
      <c r="A23" s="438">
        <v>150</v>
      </c>
      <c r="B23" s="2" t="s">
        <v>1</v>
      </c>
      <c r="C23" s="218"/>
      <c r="D23" s="51">
        <v>0</v>
      </c>
      <c r="E23" s="49">
        <f t="shared" si="0"/>
        <v>0</v>
      </c>
      <c r="F23" s="18"/>
      <c r="G23" s="43"/>
      <c r="H23" s="55">
        <f t="shared" si="1"/>
        <v>150</v>
      </c>
      <c r="I23" s="2" t="str">
        <f t="shared" si="2"/>
        <v>café</v>
      </c>
      <c r="J23" s="49">
        <f t="shared" ref="J23:J27" si="3">E23*$M$18%</f>
        <v>0</v>
      </c>
      <c r="Q23"/>
    </row>
    <row r="24" spans="1:17">
      <c r="A24" s="438">
        <v>4</v>
      </c>
      <c r="B24" s="2" t="s">
        <v>2</v>
      </c>
      <c r="C24" s="186" t="s">
        <v>674</v>
      </c>
      <c r="D24" s="51">
        <v>400</v>
      </c>
      <c r="E24" s="49">
        <f t="shared" si="0"/>
        <v>16</v>
      </c>
      <c r="F24" s="18"/>
      <c r="G24" s="43"/>
      <c r="H24" s="55">
        <f t="shared" si="1"/>
        <v>3.4051076614922384</v>
      </c>
      <c r="I24" s="2" t="str">
        <f t="shared" si="2"/>
        <v>sucre</v>
      </c>
      <c r="J24" s="49">
        <f t="shared" si="3"/>
        <v>13.620430645968954</v>
      </c>
      <c r="O24" s="45"/>
      <c r="Q24"/>
    </row>
    <row r="25" spans="1:17">
      <c r="A25" s="438">
        <v>12</v>
      </c>
      <c r="B25" s="2" t="s">
        <v>5</v>
      </c>
      <c r="C25" s="196" t="s">
        <v>673</v>
      </c>
      <c r="D25" s="51">
        <v>161</v>
      </c>
      <c r="E25" s="49">
        <f t="shared" si="0"/>
        <v>19.32</v>
      </c>
      <c r="F25" s="18"/>
      <c r="G25" s="43"/>
      <c r="H25" s="55">
        <f t="shared" si="1"/>
        <v>10.215322984476714</v>
      </c>
      <c r="I25" s="2" t="str">
        <f t="shared" si="2"/>
        <v>crème à café</v>
      </c>
      <c r="J25" s="49">
        <f t="shared" si="3"/>
        <v>16.446670005007512</v>
      </c>
      <c r="O25" s="45"/>
      <c r="Q25"/>
    </row>
    <row r="26" spans="1:17">
      <c r="A26" s="438">
        <v>125</v>
      </c>
      <c r="B26" s="2" t="s">
        <v>123</v>
      </c>
      <c r="C26" s="183" t="s">
        <v>675</v>
      </c>
      <c r="D26" s="51">
        <v>87</v>
      </c>
      <c r="E26" s="49">
        <f t="shared" si="0"/>
        <v>108.75</v>
      </c>
      <c r="F26" s="18"/>
      <c r="G26" s="43"/>
      <c r="H26" s="55">
        <f t="shared" si="1"/>
        <v>106.40961442163244</v>
      </c>
      <c r="I26" s="2" t="str">
        <f t="shared" si="2"/>
        <v>yogourt aux fruits</v>
      </c>
      <c r="J26" s="49">
        <f t="shared" si="3"/>
        <v>92.57636454682023</v>
      </c>
      <c r="O26" s="45"/>
      <c r="Q26"/>
    </row>
    <row r="27" spans="1:17">
      <c r="A27" s="438">
        <v>150</v>
      </c>
      <c r="B27" s="2" t="s">
        <v>103</v>
      </c>
      <c r="C27" s="183" t="s">
        <v>675</v>
      </c>
      <c r="D27" s="51">
        <v>45</v>
      </c>
      <c r="E27" s="49">
        <f t="shared" si="0"/>
        <v>67.5</v>
      </c>
      <c r="F27" s="18"/>
      <c r="G27" s="43"/>
      <c r="H27" s="55">
        <f t="shared" si="1"/>
        <v>127.69153730595895</v>
      </c>
      <c r="I27" s="2" t="str">
        <f t="shared" si="2"/>
        <v>jus d'orange maison</v>
      </c>
      <c r="J27" s="49">
        <f t="shared" si="3"/>
        <v>57.461191787681521</v>
      </c>
      <c r="O27" s="45"/>
      <c r="Q27"/>
    </row>
    <row r="28" spans="1:17">
      <c r="A28" s="42"/>
      <c r="B28" s="131"/>
      <c r="C28" s="200"/>
      <c r="E28" s="130" t="s">
        <v>6</v>
      </c>
      <c r="F28" s="135">
        <f>SUM(E22:E27)</f>
        <v>402.57</v>
      </c>
      <c r="G28" s="128"/>
      <c r="H28" s="42"/>
      <c r="I28" s="131"/>
      <c r="J28" s="130" t="s">
        <v>6</v>
      </c>
      <c r="K28" s="336">
        <f>SUM(J22:J27)</f>
        <v>342.69854782173263</v>
      </c>
      <c r="O28" s="45"/>
      <c r="Q28"/>
    </row>
    <row r="29" spans="1:17">
      <c r="A29" s="216" t="s">
        <v>225</v>
      </c>
      <c r="B29" s="16"/>
      <c r="C29" s="209"/>
      <c r="D29" s="17"/>
      <c r="E29" s="17"/>
      <c r="F29" s="18"/>
      <c r="G29" s="43"/>
      <c r="H29" s="17"/>
      <c r="I29" s="17"/>
      <c r="J29" s="17"/>
      <c r="P29"/>
      <c r="Q29"/>
    </row>
    <row r="30" spans="1:17">
      <c r="A30" s="66" t="s">
        <v>534</v>
      </c>
      <c r="B30" s="257"/>
      <c r="C30" s="257"/>
      <c r="D30" s="257"/>
      <c r="E30" s="257"/>
      <c r="F30" s="257"/>
      <c r="G30" s="257"/>
      <c r="H30" s="257"/>
      <c r="I30" s="257"/>
      <c r="J30" s="258"/>
      <c r="L30" s="154"/>
      <c r="O30" s="45"/>
      <c r="Q30"/>
    </row>
    <row r="31" spans="1:17">
      <c r="A31" s="439">
        <v>80</v>
      </c>
      <c r="B31" s="2" t="s">
        <v>552</v>
      </c>
      <c r="C31" s="249" t="s">
        <v>677</v>
      </c>
      <c r="D31" s="253">
        <v>185</v>
      </c>
      <c r="E31" s="254">
        <f t="shared" ref="E31:E40" si="4">D31/100*A31</f>
        <v>148</v>
      </c>
      <c r="F31" s="18"/>
      <c r="G31" s="43"/>
      <c r="H31" s="255">
        <f t="shared" ref="H31:H40" si="5">IF(E31=0,A31,A31/E31*J31)</f>
        <v>68.102153229844774</v>
      </c>
      <c r="I31" s="251" t="str">
        <f t="shared" ref="I31:I42" si="6">B31</f>
        <v xml:space="preserve">médaillons de rösti congelés </v>
      </c>
      <c r="J31" s="254">
        <f t="shared" ref="J31:J42" si="7">E31*$M$18%</f>
        <v>125.98898347521282</v>
      </c>
      <c r="L31" s="154"/>
      <c r="O31" s="45"/>
      <c r="Q31"/>
    </row>
    <row r="32" spans="1:17">
      <c r="A32" s="439">
        <v>25</v>
      </c>
      <c r="B32" s="2" t="s">
        <v>553</v>
      </c>
      <c r="C32" s="273" t="s">
        <v>676</v>
      </c>
      <c r="D32" s="253">
        <v>19</v>
      </c>
      <c r="E32" s="49">
        <f t="shared" si="4"/>
        <v>4.75</v>
      </c>
      <c r="F32" s="68"/>
      <c r="G32" s="128"/>
      <c r="H32" s="55">
        <f t="shared" si="5"/>
        <v>21.281922884326494</v>
      </c>
      <c r="I32" s="2" t="str">
        <f t="shared" si="6"/>
        <v xml:space="preserve">courgette </v>
      </c>
      <c r="J32" s="49">
        <f t="shared" si="7"/>
        <v>4.0435653480220335</v>
      </c>
      <c r="O32" s="45"/>
      <c r="Q32"/>
    </row>
    <row r="33" spans="1:17">
      <c r="A33" s="439">
        <v>25</v>
      </c>
      <c r="B33" s="2" t="s">
        <v>255</v>
      </c>
      <c r="C33" s="273" t="s">
        <v>676</v>
      </c>
      <c r="D33" s="253">
        <v>17</v>
      </c>
      <c r="E33" s="49">
        <f t="shared" si="4"/>
        <v>4.25</v>
      </c>
      <c r="F33" s="68"/>
      <c r="G33" s="128"/>
      <c r="H33" s="55">
        <f t="shared" si="5"/>
        <v>21.281922884326491</v>
      </c>
      <c r="I33" s="2" t="str">
        <f t="shared" si="6"/>
        <v>aubergine</v>
      </c>
      <c r="J33" s="49">
        <f t="shared" si="7"/>
        <v>3.6179268903355033</v>
      </c>
      <c r="O33" s="45"/>
      <c r="Q33"/>
    </row>
    <row r="34" spans="1:17">
      <c r="A34" s="439">
        <v>6</v>
      </c>
      <c r="B34" s="2" t="s">
        <v>554</v>
      </c>
      <c r="C34" s="186" t="s">
        <v>674</v>
      </c>
      <c r="D34" s="253">
        <v>899</v>
      </c>
      <c r="E34" s="49">
        <f t="shared" si="4"/>
        <v>53.94</v>
      </c>
      <c r="F34" s="68"/>
      <c r="G34" s="128"/>
      <c r="H34" s="55">
        <f t="shared" si="5"/>
        <v>5.1076614922383579</v>
      </c>
      <c r="I34" s="2" t="str">
        <f t="shared" si="6"/>
        <v xml:space="preserve">huile d’olive </v>
      </c>
      <c r="J34" s="49">
        <f t="shared" si="7"/>
        <v>45.917876815222833</v>
      </c>
      <c r="O34" s="45"/>
      <c r="Q34"/>
    </row>
    <row r="35" spans="1:17">
      <c r="A35" s="439">
        <v>25</v>
      </c>
      <c r="B35" s="2" t="s">
        <v>555</v>
      </c>
      <c r="C35" s="306" t="s">
        <v>676</v>
      </c>
      <c r="D35" s="253">
        <v>26</v>
      </c>
      <c r="E35" s="49">
        <f t="shared" si="4"/>
        <v>6.5</v>
      </c>
      <c r="F35" s="68"/>
      <c r="G35" s="128"/>
      <c r="H35" s="55">
        <f t="shared" si="5"/>
        <v>21.281922884326491</v>
      </c>
      <c r="I35" s="2" t="str">
        <f t="shared" si="6"/>
        <v xml:space="preserve"> poivrons rouges grillé </v>
      </c>
      <c r="J35" s="49">
        <f t="shared" si="7"/>
        <v>5.5332999499248876</v>
      </c>
      <c r="O35" s="45"/>
      <c r="Q35"/>
    </row>
    <row r="36" spans="1:17">
      <c r="A36" s="439">
        <v>9</v>
      </c>
      <c r="B36" s="2" t="s">
        <v>535</v>
      </c>
      <c r="C36" s="183" t="s">
        <v>675</v>
      </c>
      <c r="D36" s="253">
        <v>77</v>
      </c>
      <c r="E36" s="49">
        <f t="shared" si="4"/>
        <v>6.93</v>
      </c>
      <c r="F36" s="68"/>
      <c r="G36" s="128"/>
      <c r="H36" s="55">
        <f t="shared" si="5"/>
        <v>7.6614922383575355</v>
      </c>
      <c r="I36" s="2" t="str">
        <f t="shared" si="6"/>
        <v>purée de tomates</v>
      </c>
      <c r="J36" s="49">
        <f t="shared" si="7"/>
        <v>5.8993490235353025</v>
      </c>
      <c r="O36" s="45"/>
      <c r="Q36"/>
    </row>
    <row r="37" spans="1:17">
      <c r="A37" s="439">
        <v>3</v>
      </c>
      <c r="B37" s="2" t="s">
        <v>536</v>
      </c>
      <c r="C37" s="196" t="s">
        <v>673</v>
      </c>
      <c r="D37" s="253">
        <v>283</v>
      </c>
      <c r="E37" s="49">
        <f t="shared" si="4"/>
        <v>8.49</v>
      </c>
      <c r="F37" s="68"/>
      <c r="G37" s="128"/>
      <c r="H37" s="55">
        <f t="shared" si="5"/>
        <v>2.5538307461191789</v>
      </c>
      <c r="I37" s="2" t="str">
        <f t="shared" si="6"/>
        <v>herbes de provence</v>
      </c>
      <c r="J37" s="49">
        <f t="shared" si="7"/>
        <v>7.227341011517276</v>
      </c>
      <c r="O37" s="45"/>
      <c r="Q37"/>
    </row>
    <row r="38" spans="1:17">
      <c r="A38" s="439">
        <f>150/4</f>
        <v>37.5</v>
      </c>
      <c r="B38" s="2" t="s">
        <v>532</v>
      </c>
      <c r="C38" s="249" t="s">
        <v>677</v>
      </c>
      <c r="D38" s="253">
        <v>281</v>
      </c>
      <c r="E38" s="49">
        <f t="shared" si="4"/>
        <v>105.375</v>
      </c>
      <c r="F38" s="68"/>
      <c r="G38" s="128"/>
      <c r="H38" s="55">
        <f t="shared" si="5"/>
        <v>31.92288432648974</v>
      </c>
      <c r="I38" s="2" t="str">
        <f t="shared" si="6"/>
        <v xml:space="preserve">mozzarella </v>
      </c>
      <c r="J38" s="49">
        <f t="shared" si="7"/>
        <v>89.70330495743616</v>
      </c>
      <c r="O38" s="45"/>
      <c r="Q38"/>
    </row>
    <row r="39" spans="1:17">
      <c r="A39" s="439">
        <v>100</v>
      </c>
      <c r="B39" s="2" t="s">
        <v>141</v>
      </c>
      <c r="C39" s="306" t="s">
        <v>676</v>
      </c>
      <c r="D39" s="253">
        <v>30</v>
      </c>
      <c r="E39" s="49">
        <f t="shared" si="4"/>
        <v>30</v>
      </c>
      <c r="F39" s="68"/>
      <c r="G39" s="128"/>
      <c r="H39" s="55">
        <f t="shared" si="5"/>
        <v>85.127691537305964</v>
      </c>
      <c r="I39" s="2" t="str">
        <f>B39</f>
        <v>carottes</v>
      </c>
      <c r="J39" s="49">
        <f>E39*$M$18%</f>
        <v>25.538307461191788</v>
      </c>
      <c r="O39" s="45"/>
      <c r="P39"/>
      <c r="Q39"/>
    </row>
    <row r="40" spans="1:17">
      <c r="A40" s="439">
        <v>12</v>
      </c>
      <c r="B40" s="2" t="s">
        <v>533</v>
      </c>
      <c r="C40" s="186" t="s">
        <v>674</v>
      </c>
      <c r="D40" s="253">
        <v>446</v>
      </c>
      <c r="E40" s="49">
        <f t="shared" si="4"/>
        <v>53.519999999999996</v>
      </c>
      <c r="F40" s="68"/>
      <c r="G40" s="128"/>
      <c r="H40" s="55">
        <f t="shared" si="5"/>
        <v>10.215322984476714</v>
      </c>
      <c r="I40" s="2" t="str">
        <f t="shared" si="6"/>
        <v>sauce salade</v>
      </c>
      <c r="J40" s="49">
        <f t="shared" si="7"/>
        <v>45.560340510766146</v>
      </c>
      <c r="O40" s="45"/>
      <c r="Q40"/>
    </row>
    <row r="41" spans="1:17">
      <c r="A41" s="66" t="s">
        <v>127</v>
      </c>
      <c r="B41" s="63"/>
      <c r="C41" s="202"/>
      <c r="D41" s="63"/>
      <c r="E41" s="64"/>
      <c r="F41" s="18"/>
      <c r="G41" s="43"/>
      <c r="H41" s="65"/>
      <c r="I41" s="63"/>
      <c r="J41" s="67"/>
      <c r="O41" s="45"/>
      <c r="Q41"/>
    </row>
    <row r="42" spans="1:17">
      <c r="A42" s="439">
        <v>100</v>
      </c>
      <c r="B42" s="107" t="s">
        <v>199</v>
      </c>
      <c r="C42" s="183" t="s">
        <v>675</v>
      </c>
      <c r="D42" s="51">
        <v>91</v>
      </c>
      <c r="E42" s="49">
        <f>D42/100*A42</f>
        <v>91</v>
      </c>
      <c r="F42" s="18"/>
      <c r="G42" s="43"/>
      <c r="H42" s="55">
        <f>IF(E42=0,A42,A42/E42*J42)</f>
        <v>85.127691537305964</v>
      </c>
      <c r="I42" s="56" t="str">
        <f t="shared" si="6"/>
        <v>banane</v>
      </c>
      <c r="J42" s="49">
        <f t="shared" si="7"/>
        <v>77.466199298948425</v>
      </c>
      <c r="K42" s="275"/>
      <c r="O42" s="45"/>
      <c r="P42"/>
      <c r="Q42"/>
    </row>
    <row r="43" spans="1:17">
      <c r="A43" s="42"/>
      <c r="B43" s="131"/>
      <c r="C43" s="200"/>
      <c r="E43" s="130" t="s">
        <v>6</v>
      </c>
      <c r="F43" s="138">
        <f>SUM(E31:E42)</f>
        <v>512.755</v>
      </c>
      <c r="G43" s="128"/>
      <c r="H43" s="42"/>
      <c r="I43" s="131"/>
      <c r="J43" s="130" t="s">
        <v>6</v>
      </c>
      <c r="K43" s="336">
        <f>SUM(J31:J42)</f>
        <v>436.49649474211316</v>
      </c>
      <c r="O43" s="45"/>
      <c r="Q43"/>
    </row>
    <row r="44" spans="1:17" ht="6" customHeight="1">
      <c r="A44" s="17"/>
      <c r="B44" s="17"/>
      <c r="C44" s="188"/>
      <c r="D44" s="68"/>
      <c r="E44" s="17"/>
      <c r="F44" s="18"/>
      <c r="G44" s="43"/>
      <c r="H44" s="17"/>
      <c r="I44" s="17"/>
      <c r="J44" s="17"/>
      <c r="O44" s="45"/>
      <c r="P44"/>
      <c r="Q44"/>
    </row>
    <row r="45" spans="1:17">
      <c r="A45" s="216" t="s">
        <v>228</v>
      </c>
      <c r="B45" s="16"/>
      <c r="C45" s="209"/>
      <c r="D45" s="17"/>
      <c r="E45" s="17"/>
      <c r="F45" s="18"/>
      <c r="G45" s="43"/>
      <c r="H45" s="17"/>
      <c r="I45" s="17"/>
      <c r="J45" s="17"/>
      <c r="P45"/>
      <c r="Q45"/>
    </row>
    <row r="46" spans="1:17">
      <c r="A46" s="438">
        <v>180</v>
      </c>
      <c r="B46" s="2" t="s">
        <v>163</v>
      </c>
      <c r="C46" s="196" t="s">
        <v>673</v>
      </c>
      <c r="D46" s="51">
        <v>100</v>
      </c>
      <c r="E46" s="49">
        <f>D46/100*A46</f>
        <v>180</v>
      </c>
      <c r="F46" s="18"/>
      <c r="G46" s="43"/>
      <c r="H46" s="55">
        <f>IF(E46=0,A46,A46/E46*J46)</f>
        <v>153.22984476715072</v>
      </c>
      <c r="I46" s="2" t="str">
        <f>B46</f>
        <v>yogourt mocca</v>
      </c>
      <c r="J46" s="49">
        <f>E46*$M$18%</f>
        <v>153.22984476715072</v>
      </c>
    </row>
    <row r="47" spans="1:17">
      <c r="A47" s="42"/>
      <c r="B47" s="157"/>
      <c r="C47" s="272"/>
      <c r="E47" s="130" t="s">
        <v>6</v>
      </c>
      <c r="F47" s="278">
        <f>SUM(E46:E46)</f>
        <v>180</v>
      </c>
      <c r="G47" s="140"/>
      <c r="H47" s="42"/>
      <c r="I47" s="131"/>
      <c r="J47" s="130" t="s">
        <v>6</v>
      </c>
      <c r="K47" s="338">
        <f>SUM(J46:J46)</f>
        <v>153.22984476715072</v>
      </c>
      <c r="O47" s="45"/>
      <c r="Q47"/>
    </row>
    <row r="48" spans="1:17">
      <c r="A48" s="216" t="s">
        <v>226</v>
      </c>
      <c r="B48" s="16"/>
      <c r="C48" s="209"/>
      <c r="D48" s="17"/>
      <c r="E48" s="17"/>
      <c r="F48" s="18"/>
      <c r="G48" s="43"/>
      <c r="H48" s="17"/>
      <c r="I48" s="17"/>
      <c r="J48" s="17"/>
      <c r="P48"/>
      <c r="Q48"/>
    </row>
    <row r="49" spans="1:17">
      <c r="A49" s="66" t="s">
        <v>543</v>
      </c>
      <c r="B49" s="257"/>
      <c r="C49" s="257"/>
      <c r="D49" s="257"/>
      <c r="E49" s="257"/>
      <c r="F49" s="257"/>
      <c r="G49" s="257"/>
      <c r="H49" s="257"/>
      <c r="I49" s="257"/>
      <c r="J49" s="258"/>
      <c r="O49" s="45"/>
      <c r="Q49"/>
    </row>
    <row r="50" spans="1:17">
      <c r="A50" s="439">
        <v>200</v>
      </c>
      <c r="B50" s="2" t="s">
        <v>544</v>
      </c>
      <c r="C50" s="306" t="s">
        <v>676</v>
      </c>
      <c r="D50" s="253">
        <v>115</v>
      </c>
      <c r="E50" s="49">
        <f t="shared" ref="E50:E60" si="8">D50/100*A50</f>
        <v>229.99999999999997</v>
      </c>
      <c r="F50" s="68"/>
      <c r="G50" s="128"/>
      <c r="H50" s="55">
        <f t="shared" ref="H50:H60" si="9">IF(E50=0,A50,A50/E50*J50)</f>
        <v>170.2553830746119</v>
      </c>
      <c r="I50" s="2" t="str">
        <f t="shared" ref="I50:I60" si="10">B50</f>
        <v>porc (noix)</v>
      </c>
      <c r="J50" s="49">
        <f t="shared" ref="J50:J73" si="11">E50*$M$18%</f>
        <v>195.79369053580368</v>
      </c>
      <c r="L50" s="154"/>
      <c r="O50" s="45"/>
      <c r="P50"/>
      <c r="Q50"/>
    </row>
    <row r="51" spans="1:17">
      <c r="A51" s="439">
        <v>3</v>
      </c>
      <c r="B51" s="2" t="s">
        <v>539</v>
      </c>
      <c r="C51" s="249" t="s">
        <v>677</v>
      </c>
      <c r="D51" s="253">
        <v>899</v>
      </c>
      <c r="E51" s="49">
        <f t="shared" ref="E51" si="12">D51/100*A51</f>
        <v>26.97</v>
      </c>
      <c r="F51" s="68"/>
      <c r="G51" s="128"/>
      <c r="H51" s="55">
        <f t="shared" ref="H51" si="13">IF(E51=0,A51,A51/E51*J51)</f>
        <v>2.5538307461191789</v>
      </c>
      <c r="I51" s="2" t="str">
        <f t="shared" ref="I51" si="14">B51</f>
        <v>huile de tournesol</v>
      </c>
      <c r="J51" s="49">
        <f t="shared" ref="J51" si="15">E51*$M$18%</f>
        <v>22.958938407611416</v>
      </c>
      <c r="O51" s="45"/>
      <c r="P51"/>
      <c r="Q51"/>
    </row>
    <row r="52" spans="1:17" s="117" customFormat="1">
      <c r="A52" s="439">
        <v>25</v>
      </c>
      <c r="B52" s="225" t="s">
        <v>271</v>
      </c>
      <c r="C52" s="306" t="s">
        <v>676</v>
      </c>
      <c r="D52" s="315">
        <v>29</v>
      </c>
      <c r="E52" s="222">
        <f t="shared" si="8"/>
        <v>7.2499999999999991</v>
      </c>
      <c r="F52" s="68"/>
      <c r="G52" s="316"/>
      <c r="H52" s="224">
        <f t="shared" si="9"/>
        <v>21.281922884326487</v>
      </c>
      <c r="I52" s="225" t="str">
        <f t="shared" si="10"/>
        <v>oignon</v>
      </c>
      <c r="J52" s="222">
        <f t="shared" si="11"/>
        <v>6.1717576364546813</v>
      </c>
      <c r="K52" s="228"/>
      <c r="L52" s="242"/>
      <c r="M52" s="407"/>
      <c r="N52" s="44"/>
      <c r="O52" s="45"/>
    </row>
    <row r="53" spans="1:17">
      <c r="A53" s="439">
        <v>50</v>
      </c>
      <c r="B53" s="2" t="s">
        <v>545</v>
      </c>
      <c r="C53" s="186" t="s">
        <v>674</v>
      </c>
      <c r="D53" s="253">
        <v>252</v>
      </c>
      <c r="E53" s="49">
        <f t="shared" si="8"/>
        <v>126</v>
      </c>
      <c r="F53" s="68"/>
      <c r="G53" s="128"/>
      <c r="H53" s="55">
        <f t="shared" si="9"/>
        <v>42.563845768652975</v>
      </c>
      <c r="I53" s="2" t="str">
        <f t="shared" si="10"/>
        <v xml:space="preserve"> crème</v>
      </c>
      <c r="J53" s="49">
        <f t="shared" si="11"/>
        <v>107.2608913370055</v>
      </c>
      <c r="O53" s="45"/>
      <c r="P53"/>
      <c r="Q53"/>
    </row>
    <row r="54" spans="1:17">
      <c r="A54" s="439">
        <v>50</v>
      </c>
      <c r="B54" s="2" t="s">
        <v>546</v>
      </c>
      <c r="C54" s="186" t="s">
        <v>674</v>
      </c>
      <c r="D54" s="253">
        <v>211</v>
      </c>
      <c r="E54" s="49">
        <f t="shared" si="8"/>
        <v>105.5</v>
      </c>
      <c r="F54" s="68"/>
      <c r="G54" s="128"/>
      <c r="H54" s="55">
        <f t="shared" si="9"/>
        <v>42.563845768652975</v>
      </c>
      <c r="I54" s="2" t="str">
        <f t="shared" si="10"/>
        <v>lait de coco</v>
      </c>
      <c r="J54" s="49">
        <f t="shared" si="11"/>
        <v>89.809714571857782</v>
      </c>
      <c r="L54" s="154"/>
      <c r="O54" s="45"/>
      <c r="P54"/>
      <c r="Q54"/>
    </row>
    <row r="55" spans="1:17">
      <c r="A55" s="439">
        <f>230/4</f>
        <v>57.5</v>
      </c>
      <c r="B55" s="2" t="s">
        <v>537</v>
      </c>
      <c r="C55" s="306" t="s">
        <v>676</v>
      </c>
      <c r="D55" s="253">
        <v>19</v>
      </c>
      <c r="E55" s="49">
        <f t="shared" si="8"/>
        <v>10.925000000000001</v>
      </c>
      <c r="F55" s="68"/>
      <c r="G55" s="128"/>
      <c r="H55" s="55">
        <f t="shared" si="9"/>
        <v>48.948422633950919</v>
      </c>
      <c r="I55" s="2" t="str">
        <f t="shared" si="10"/>
        <v>1 boîte de champignons (230 g)</v>
      </c>
      <c r="J55" s="49">
        <f t="shared" si="11"/>
        <v>9.3002003004506761</v>
      </c>
      <c r="L55" s="154"/>
      <c r="O55" s="45"/>
      <c r="P55"/>
      <c r="Q55"/>
    </row>
    <row r="56" spans="1:17">
      <c r="A56" s="439">
        <f>0.3</f>
        <v>0.3</v>
      </c>
      <c r="B56" s="2" t="s">
        <v>538</v>
      </c>
      <c r="C56" s="249" t="s">
        <v>677</v>
      </c>
      <c r="D56" s="253">
        <v>352</v>
      </c>
      <c r="E56" s="49">
        <f t="shared" si="8"/>
        <v>1.056</v>
      </c>
      <c r="F56" s="68"/>
      <c r="G56" s="128"/>
      <c r="H56" s="55">
        <f t="shared" si="9"/>
        <v>0.25538307461191789</v>
      </c>
      <c r="I56" s="2" t="str">
        <f t="shared" si="10"/>
        <v xml:space="preserve">safran </v>
      </c>
      <c r="J56" s="49">
        <f t="shared" si="11"/>
        <v>0.89894842263395103</v>
      </c>
      <c r="O56" s="45"/>
      <c r="P56"/>
      <c r="Q56"/>
    </row>
    <row r="57" spans="1:17">
      <c r="A57" s="439">
        <v>50</v>
      </c>
      <c r="B57" s="2" t="s">
        <v>547</v>
      </c>
      <c r="C57" s="183" t="s">
        <v>675</v>
      </c>
      <c r="D57" s="253">
        <v>116</v>
      </c>
      <c r="E57" s="49">
        <f t="shared" si="8"/>
        <v>57.999999999999993</v>
      </c>
      <c r="F57" s="68"/>
      <c r="G57" s="128"/>
      <c r="H57" s="55">
        <f t="shared" si="9"/>
        <v>42.563845768652975</v>
      </c>
      <c r="I57" s="2" t="str">
        <f t="shared" si="10"/>
        <v xml:space="preserve"> fusili</v>
      </c>
      <c r="J57" s="49">
        <f t="shared" si="11"/>
        <v>49.374061091637451</v>
      </c>
      <c r="O57" s="45"/>
      <c r="P57"/>
      <c r="Q57"/>
    </row>
    <row r="58" spans="1:17">
      <c r="A58" s="439">
        <v>75</v>
      </c>
      <c r="B58" s="2" t="s">
        <v>548</v>
      </c>
      <c r="C58" s="306" t="s">
        <v>676</v>
      </c>
      <c r="D58" s="253">
        <v>26</v>
      </c>
      <c r="E58" s="49">
        <f t="shared" si="8"/>
        <v>19.5</v>
      </c>
      <c r="F58" s="68"/>
      <c r="G58" s="128"/>
      <c r="H58" s="55">
        <f t="shared" si="9"/>
        <v>63.845768652979473</v>
      </c>
      <c r="I58" s="2" t="str">
        <f t="shared" si="10"/>
        <v>choux-fleur</v>
      </c>
      <c r="J58" s="49">
        <f t="shared" si="11"/>
        <v>16.599899849774662</v>
      </c>
      <c r="O58" s="45"/>
      <c r="P58"/>
      <c r="Q58"/>
    </row>
    <row r="59" spans="1:17">
      <c r="A59" s="439">
        <v>1</v>
      </c>
      <c r="B59" s="2" t="s">
        <v>109</v>
      </c>
      <c r="C59" s="186" t="s">
        <v>674</v>
      </c>
      <c r="D59" s="253">
        <v>0</v>
      </c>
      <c r="E59" s="49">
        <f t="shared" si="8"/>
        <v>0</v>
      </c>
      <c r="F59" s="68"/>
      <c r="G59" s="128"/>
      <c r="H59" s="55">
        <f t="shared" si="9"/>
        <v>1</v>
      </c>
      <c r="I59" s="2" t="str">
        <f t="shared" si="10"/>
        <v>sel</v>
      </c>
      <c r="J59" s="49">
        <f t="shared" si="11"/>
        <v>0</v>
      </c>
      <c r="O59" s="45"/>
      <c r="P59"/>
      <c r="Q59"/>
    </row>
    <row r="60" spans="1:17">
      <c r="A60" s="439">
        <v>0.25</v>
      </c>
      <c r="B60" s="2" t="s">
        <v>116</v>
      </c>
      <c r="C60" s="199" t="s">
        <v>675</v>
      </c>
      <c r="D60" s="253">
        <v>249</v>
      </c>
      <c r="E60" s="49">
        <f t="shared" si="8"/>
        <v>0.62250000000000005</v>
      </c>
      <c r="F60" s="68"/>
      <c r="G60" s="128"/>
      <c r="H60" s="55">
        <f t="shared" si="9"/>
        <v>0.2128192288432649</v>
      </c>
      <c r="I60" s="2" t="str">
        <f t="shared" si="10"/>
        <v>poivre</v>
      </c>
      <c r="J60" s="49">
        <f t="shared" si="11"/>
        <v>0.52991987981972966</v>
      </c>
      <c r="O60" s="45"/>
      <c r="P60"/>
      <c r="Q60"/>
    </row>
    <row r="61" spans="1:17">
      <c r="A61" s="42"/>
      <c r="B61" s="131"/>
      <c r="C61" s="201"/>
      <c r="E61" s="130" t="s">
        <v>6</v>
      </c>
      <c r="F61" s="138">
        <f>SUM(E50:E60)</f>
        <v>585.82349999999985</v>
      </c>
      <c r="G61" s="140"/>
      <c r="H61" s="42"/>
      <c r="I61" s="131"/>
      <c r="J61" s="130" t="s">
        <v>6</v>
      </c>
      <c r="K61" s="336">
        <f>SUM(J50:J60)</f>
        <v>498.69802203304954</v>
      </c>
      <c r="O61" s="45"/>
      <c r="Q61"/>
    </row>
    <row r="62" spans="1:17">
      <c r="A62" s="66" t="s">
        <v>541</v>
      </c>
      <c r="B62" s="257"/>
      <c r="C62" s="257"/>
      <c r="D62" s="257"/>
      <c r="E62" s="257"/>
      <c r="F62" s="259"/>
      <c r="G62" s="260"/>
      <c r="H62" s="257"/>
      <c r="I62" s="257"/>
      <c r="J62" s="258"/>
      <c r="O62" s="45"/>
      <c r="Q62"/>
    </row>
    <row r="63" spans="1:17">
      <c r="A63" s="439">
        <v>250</v>
      </c>
      <c r="B63" s="2" t="s">
        <v>549</v>
      </c>
      <c r="C63" s="199" t="s">
        <v>675</v>
      </c>
      <c r="D63" s="253">
        <v>55</v>
      </c>
      <c r="E63" s="49">
        <f t="shared" ref="E63:E71" si="16">D63/100*A63</f>
        <v>137.5</v>
      </c>
      <c r="F63" s="68"/>
      <c r="G63" s="128"/>
      <c r="H63" s="55">
        <f>IF(E63=0,A63,A63/E63*J63)</f>
        <v>212.81922884326491</v>
      </c>
      <c r="I63" s="2" t="str">
        <f>B63</f>
        <v xml:space="preserve">pommes golden </v>
      </c>
      <c r="J63" s="49">
        <f t="shared" si="11"/>
        <v>117.0505758637957</v>
      </c>
      <c r="K63" s="241"/>
      <c r="O63" s="45"/>
      <c r="P63"/>
      <c r="Q63"/>
    </row>
    <row r="64" spans="1:17">
      <c r="A64" s="439">
        <f>75/4</f>
        <v>18.75</v>
      </c>
      <c r="B64" s="2" t="s">
        <v>184</v>
      </c>
      <c r="C64" s="196" t="s">
        <v>673</v>
      </c>
      <c r="D64" s="253">
        <v>353</v>
      </c>
      <c r="E64" s="49">
        <f t="shared" ref="E64:E67" si="17">D64/100*A64</f>
        <v>66.1875</v>
      </c>
      <c r="F64" s="68"/>
      <c r="G64" s="128"/>
      <c r="H64" s="55">
        <f t="shared" ref="H64:H67" si="18">IF(E64=0,A64,A64/E64*J64)</f>
        <v>15.961442163244868</v>
      </c>
      <c r="I64" s="2" t="str">
        <f t="shared" ref="I64:I67" si="19">B64</f>
        <v>maïzena</v>
      </c>
      <c r="J64" s="49">
        <f t="shared" ref="J64:J67" si="20">E64*$M$18%</f>
        <v>56.343890836254381</v>
      </c>
      <c r="K64" s="241"/>
      <c r="O64" s="45"/>
      <c r="P64"/>
      <c r="Q64"/>
    </row>
    <row r="65" spans="1:17">
      <c r="A65" s="439">
        <v>25</v>
      </c>
      <c r="B65" s="2" t="s">
        <v>550</v>
      </c>
      <c r="C65" s="306" t="s">
        <v>676</v>
      </c>
      <c r="D65" s="253">
        <v>62</v>
      </c>
      <c r="E65" s="49">
        <f t="shared" si="17"/>
        <v>15.5</v>
      </c>
      <c r="F65" s="68"/>
      <c r="G65" s="128"/>
      <c r="H65" s="55">
        <f t="shared" si="18"/>
        <v>21.281922884326487</v>
      </c>
      <c r="I65" s="2" t="str">
        <f t="shared" si="19"/>
        <v xml:space="preserve">lait </v>
      </c>
      <c r="J65" s="49">
        <f t="shared" si="20"/>
        <v>13.194792188282424</v>
      </c>
      <c r="K65" s="241"/>
      <c r="O65" s="45"/>
      <c r="P65"/>
      <c r="Q65"/>
    </row>
    <row r="66" spans="1:17">
      <c r="A66" s="439">
        <f>25/4</f>
        <v>6.25</v>
      </c>
      <c r="B66" s="2" t="s">
        <v>0</v>
      </c>
      <c r="C66" s="186" t="s">
        <v>674</v>
      </c>
      <c r="D66" s="253">
        <v>747</v>
      </c>
      <c r="E66" s="49">
        <f t="shared" si="17"/>
        <v>46.6875</v>
      </c>
      <c r="F66" s="68"/>
      <c r="G66" s="128"/>
      <c r="H66" s="55">
        <f t="shared" si="18"/>
        <v>5.3204807210816227</v>
      </c>
      <c r="I66" s="2" t="str">
        <f t="shared" si="19"/>
        <v>beurre</v>
      </c>
      <c r="J66" s="49">
        <f t="shared" si="20"/>
        <v>39.743990986479723</v>
      </c>
      <c r="K66" s="241"/>
      <c r="O66" s="45"/>
      <c r="P66"/>
      <c r="Q66"/>
    </row>
    <row r="67" spans="1:17">
      <c r="A67" s="439">
        <v>1</v>
      </c>
      <c r="B67" s="2" t="s">
        <v>551</v>
      </c>
      <c r="C67" s="276"/>
      <c r="D67" s="253"/>
      <c r="E67" s="49">
        <f t="shared" si="17"/>
        <v>0</v>
      </c>
      <c r="F67" s="68"/>
      <c r="G67" s="128"/>
      <c r="H67" s="55">
        <f t="shared" si="18"/>
        <v>1</v>
      </c>
      <c r="I67" s="2" t="str">
        <f t="shared" si="19"/>
        <v xml:space="preserve">cannelle en poudre </v>
      </c>
      <c r="J67" s="49">
        <f t="shared" si="20"/>
        <v>0</v>
      </c>
      <c r="K67" s="241"/>
      <c r="L67" s="154"/>
      <c r="O67" s="45"/>
      <c r="P67"/>
      <c r="Q67"/>
    </row>
    <row r="68" spans="1:17">
      <c r="A68" s="439">
        <v>15</v>
      </c>
      <c r="B68" s="2" t="s">
        <v>126</v>
      </c>
      <c r="C68" s="306" t="s">
        <v>676</v>
      </c>
      <c r="D68" s="253">
        <v>146</v>
      </c>
      <c r="E68" s="49">
        <f t="shared" si="16"/>
        <v>21.9</v>
      </c>
      <c r="F68" s="68"/>
      <c r="G68" s="128"/>
      <c r="H68" s="55">
        <f t="shared" ref="H68:H69" si="21">IF(E68=0,A68,A68/E68*J68)</f>
        <v>12.769153730595894</v>
      </c>
      <c r="I68" s="2" t="str">
        <f t="shared" ref="I68:I69" si="22">B68</f>
        <v>œuf</v>
      </c>
      <c r="J68" s="49">
        <f t="shared" si="11"/>
        <v>18.642964446670003</v>
      </c>
      <c r="K68" s="241"/>
      <c r="L68" s="154"/>
      <c r="O68" s="45"/>
      <c r="P68"/>
      <c r="Q68"/>
    </row>
    <row r="69" spans="1:17">
      <c r="A69" s="439">
        <v>4</v>
      </c>
      <c r="B69" s="2" t="s">
        <v>542</v>
      </c>
      <c r="C69" s="186" t="s">
        <v>674</v>
      </c>
      <c r="D69" s="253">
        <v>400</v>
      </c>
      <c r="E69" s="49">
        <f t="shared" si="16"/>
        <v>16</v>
      </c>
      <c r="F69" s="68"/>
      <c r="G69" s="128"/>
      <c r="H69" s="55">
        <f t="shared" si="21"/>
        <v>3.4051076614922384</v>
      </c>
      <c r="I69" s="2" t="str">
        <f t="shared" si="22"/>
        <v>2 sachets de sucre vanillé (8g/u)</v>
      </c>
      <c r="J69" s="49">
        <f t="shared" si="11"/>
        <v>13.620430645968954</v>
      </c>
      <c r="K69" s="241"/>
      <c r="L69" s="154"/>
      <c r="O69" s="45"/>
      <c r="P69"/>
      <c r="Q69"/>
    </row>
    <row r="70" spans="1:17">
      <c r="A70" s="439">
        <v>3</v>
      </c>
      <c r="B70" s="2" t="s">
        <v>373</v>
      </c>
      <c r="C70" s="186" t="s">
        <v>674</v>
      </c>
      <c r="D70" s="253">
        <v>389</v>
      </c>
      <c r="E70" s="49">
        <f t="shared" si="16"/>
        <v>11.67</v>
      </c>
      <c r="F70" s="68"/>
      <c r="G70" s="128"/>
      <c r="H70" s="55">
        <f>IF(E70=0,A70,A70/E70*J70)</f>
        <v>2.5538307461191785</v>
      </c>
      <c r="I70" s="2" t="str">
        <f>B70</f>
        <v xml:space="preserve">sucre roux </v>
      </c>
      <c r="J70" s="49">
        <f>E70*$M$18%</f>
        <v>9.9344016024036055</v>
      </c>
      <c r="K70" s="241"/>
      <c r="L70" s="154"/>
      <c r="O70" s="45"/>
      <c r="P70"/>
      <c r="Q70"/>
    </row>
    <row r="71" spans="1:17">
      <c r="A71" s="439"/>
      <c r="B71" s="2" t="s">
        <v>540</v>
      </c>
      <c r="C71" s="276"/>
      <c r="D71" s="253"/>
      <c r="E71" s="49">
        <f t="shared" si="16"/>
        <v>0</v>
      </c>
      <c r="F71" s="68"/>
      <c r="G71" s="128"/>
      <c r="H71" s="55">
        <f>IF(E71=0,A71,A71/E71*J71)</f>
        <v>0</v>
      </c>
      <c r="I71" s="2" t="str">
        <f>B71</f>
        <v>rhum</v>
      </c>
      <c r="J71" s="49">
        <f t="shared" si="11"/>
        <v>0</v>
      </c>
      <c r="K71" s="241"/>
      <c r="L71" s="154"/>
      <c r="O71" s="45"/>
      <c r="P71"/>
      <c r="Q71"/>
    </row>
    <row r="72" spans="1:17">
      <c r="A72" s="42"/>
      <c r="B72" s="131"/>
      <c r="C72" s="201"/>
      <c r="E72" s="143" t="s">
        <v>6</v>
      </c>
      <c r="F72" s="135">
        <f>SUM(E63:E71)</f>
        <v>315.44499999999999</v>
      </c>
      <c r="G72" s="25"/>
      <c r="H72" s="42"/>
      <c r="I72" s="131"/>
      <c r="J72" s="143" t="s">
        <v>6</v>
      </c>
      <c r="K72" s="336">
        <f>SUM(J63:J71)</f>
        <v>268.53104656985482</v>
      </c>
      <c r="L72" s="154"/>
      <c r="O72" s="45"/>
      <c r="Q72"/>
    </row>
    <row r="73" spans="1:17">
      <c r="A73" s="54">
        <f>IF(D5="non",0,IF(D5="1 verre",125,250))</f>
        <v>0</v>
      </c>
      <c r="B73" s="2" t="str">
        <f>IF(A73=0,"","vin")</f>
        <v/>
      </c>
      <c r="C73" s="218"/>
      <c r="D73" s="51">
        <v>80</v>
      </c>
      <c r="E73" s="49">
        <f>D73/100*A73</f>
        <v>0</v>
      </c>
      <c r="G73" s="142"/>
      <c r="H73" s="55">
        <f>IF(E73=0,A73,A73/E73*J73)</f>
        <v>0</v>
      </c>
      <c r="I73" s="2" t="str">
        <f>B73</f>
        <v/>
      </c>
      <c r="J73" s="49">
        <f t="shared" si="11"/>
        <v>0</v>
      </c>
      <c r="K73" s="335"/>
      <c r="L73" s="154"/>
      <c r="O73" s="45"/>
      <c r="P73"/>
      <c r="Q73"/>
    </row>
    <row r="74" spans="1:17" ht="6" customHeight="1">
      <c r="A74" s="17"/>
      <c r="B74" s="17"/>
      <c r="C74" s="188"/>
      <c r="D74" s="68"/>
      <c r="E74" s="17"/>
      <c r="F74" s="18"/>
      <c r="G74" s="204"/>
      <c r="H74" s="17"/>
      <c r="I74" s="17"/>
      <c r="J74" s="17"/>
      <c r="K74" s="335"/>
      <c r="P74"/>
      <c r="Q74"/>
    </row>
    <row r="75" spans="1:17">
      <c r="A75" s="17"/>
      <c r="B75" s="17"/>
      <c r="C75" s="188"/>
      <c r="D75" s="69" t="s">
        <v>129</v>
      </c>
      <c r="F75" s="138">
        <f>SUM(F22:F72)</f>
        <v>1996.5934999999997</v>
      </c>
      <c r="G75" s="204"/>
      <c r="H75" s="17"/>
      <c r="I75" s="69" t="s">
        <v>129</v>
      </c>
      <c r="K75" s="336">
        <f>SUM(K22:K72)</f>
        <v>1699.653955933901</v>
      </c>
      <c r="P75"/>
      <c r="Q75"/>
    </row>
    <row r="76" spans="1:17">
      <c r="A76" s="17"/>
      <c r="B76" s="17"/>
      <c r="C76" s="188"/>
      <c r="D76" s="18" t="s">
        <v>130</v>
      </c>
      <c r="E76" s="25"/>
      <c r="F76" s="144">
        <f>F75+E73</f>
        <v>1996.5934999999997</v>
      </c>
      <c r="G76" s="43"/>
      <c r="H76" s="42"/>
      <c r="I76" s="18" t="s">
        <v>130</v>
      </c>
      <c r="J76" s="25"/>
      <c r="K76" s="336">
        <f>K75+J73</f>
        <v>1699.653955933901</v>
      </c>
      <c r="P76"/>
      <c r="Q76"/>
    </row>
    <row r="77" spans="1:17">
      <c r="A77" s="17"/>
      <c r="B77" s="16"/>
      <c r="C77" s="188"/>
      <c r="D77" s="17"/>
      <c r="E77" s="17"/>
      <c r="F77" s="205"/>
      <c r="G77" s="43"/>
      <c r="H77" s="17"/>
      <c r="I77" s="17"/>
      <c r="J77" s="17"/>
      <c r="P77"/>
      <c r="Q77"/>
    </row>
    <row r="78" spans="1:17" ht="19">
      <c r="A78" s="118" t="s">
        <v>100</v>
      </c>
      <c r="B78" s="491" t="s">
        <v>99</v>
      </c>
      <c r="C78" s="491"/>
      <c r="D78" s="17"/>
      <c r="E78" s="17"/>
      <c r="F78" s="18"/>
      <c r="G78" s="18"/>
      <c r="H78" s="17"/>
      <c r="I78" s="17"/>
      <c r="J78" s="17"/>
      <c r="P78"/>
      <c r="Q78"/>
    </row>
    <row r="79" spans="1:17" ht="409" customHeight="1">
      <c r="A79" s="17"/>
      <c r="B79" s="16"/>
      <c r="C79" s="228"/>
      <c r="D79" s="17"/>
      <c r="E79" s="17"/>
      <c r="F79" s="18"/>
      <c r="G79" s="18"/>
      <c r="H79" s="17"/>
      <c r="I79" s="17"/>
      <c r="J79" s="17"/>
      <c r="K79" s="18"/>
      <c r="P79"/>
      <c r="Q79"/>
    </row>
    <row r="80" spans="1:17">
      <c r="A80" s="17"/>
      <c r="B80" s="16"/>
      <c r="C80" s="188"/>
      <c r="D80" s="17"/>
      <c r="E80" s="17"/>
      <c r="F80" s="18"/>
      <c r="G80" s="18"/>
      <c r="H80" s="17"/>
      <c r="I80" s="17"/>
      <c r="J80" s="17"/>
      <c r="P80"/>
      <c r="Q80"/>
    </row>
    <row r="81" spans="1:17">
      <c r="A81" s="17"/>
      <c r="B81" s="16"/>
      <c r="C81" s="188"/>
      <c r="D81" s="17"/>
      <c r="E81" s="17"/>
      <c r="F81" s="18"/>
      <c r="G81" s="18"/>
      <c r="H81" s="17"/>
      <c r="I81" s="17"/>
      <c r="J81" s="17"/>
      <c r="P81"/>
      <c r="Q81"/>
    </row>
    <row r="82" spans="1:17">
      <c r="F82" s="18"/>
      <c r="G82" s="18"/>
      <c r="N82"/>
      <c r="O82"/>
      <c r="P82"/>
      <c r="Q82"/>
    </row>
    <row r="83" spans="1:17">
      <c r="F83" s="206"/>
      <c r="N83"/>
      <c r="O83"/>
      <c r="P83"/>
      <c r="Q83"/>
    </row>
    <row r="84" spans="1:17">
      <c r="B84"/>
      <c r="C84"/>
      <c r="N84"/>
      <c r="O84"/>
      <c r="P84"/>
      <c r="Q84"/>
    </row>
    <row r="85" spans="1:17">
      <c r="B85"/>
      <c r="C85"/>
      <c r="N85"/>
      <c r="O85"/>
      <c r="P85"/>
      <c r="Q85"/>
    </row>
    <row r="86" spans="1:17">
      <c r="B86"/>
      <c r="C86"/>
      <c r="N86"/>
      <c r="O86"/>
      <c r="P86"/>
      <c r="Q86"/>
    </row>
    <row r="87" spans="1:17">
      <c r="B87"/>
      <c r="C87"/>
      <c r="N87"/>
      <c r="O87"/>
      <c r="P87"/>
      <c r="Q87"/>
    </row>
    <row r="88" spans="1:17">
      <c r="B88"/>
      <c r="C88"/>
      <c r="N88"/>
      <c r="O88"/>
      <c r="P88"/>
      <c r="Q88"/>
    </row>
    <row r="89" spans="1:17">
      <c r="B89"/>
      <c r="C89"/>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F98"/>
      <c r="G98"/>
      <c r="K98" s="235"/>
      <c r="N98"/>
      <c r="O98"/>
      <c r="P98"/>
      <c r="Q98"/>
    </row>
    <row r="99" spans="2:17">
      <c r="B99"/>
      <c r="C99"/>
      <c r="F99"/>
      <c r="G99"/>
      <c r="K99" s="235"/>
      <c r="N99"/>
      <c r="O99"/>
      <c r="P99"/>
      <c r="Q99"/>
    </row>
    <row r="100" spans="2:17">
      <c r="B100"/>
      <c r="C100"/>
      <c r="F100"/>
      <c r="G100"/>
      <c r="K100" s="235"/>
      <c r="N100"/>
      <c r="O100"/>
      <c r="P100"/>
      <c r="Q100"/>
    </row>
    <row r="101" spans="2:17">
      <c r="B101"/>
      <c r="C101"/>
      <c r="F101"/>
      <c r="G101"/>
      <c r="K101" s="235"/>
      <c r="N101"/>
      <c r="O101"/>
      <c r="P101"/>
      <c r="Q101"/>
    </row>
    <row r="102" spans="2:17">
      <c r="B102"/>
      <c r="C102"/>
      <c r="F102"/>
      <c r="G102"/>
      <c r="K102" s="235"/>
      <c r="N102"/>
      <c r="O102"/>
      <c r="P102"/>
      <c r="Q102"/>
    </row>
  </sheetData>
  <sheetProtection password="A5F4" sheet="1" objects="1" scenarios="1" selectLockedCells="1"/>
  <mergeCells count="8">
    <mergeCell ref="B78:C78"/>
    <mergeCell ref="D8:J8"/>
    <mergeCell ref="B15:J15"/>
    <mergeCell ref="A18:A19"/>
    <mergeCell ref="B18:B19"/>
    <mergeCell ref="D18:E18"/>
    <mergeCell ref="H18:H19"/>
    <mergeCell ref="I18:I19"/>
  </mergeCells>
  <dataValidations count="1">
    <dataValidation allowBlank="1" showErrorMessage="1" promptTitle="Modification des quantités" prompt="Vous pouvez diminuer ou augmenter la quantité,._x000d_Si vous désirez supprimer l'aliment, inscrivez 0 (zéro)." sqref="A22:A25"/>
  </dataValidations>
  <hyperlinks>
    <hyperlink ref="B78" location="sommaire!A1" display="RETOUR AU SOMMAIRE"/>
    <hyperlink ref="C78"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
  <sheetViews>
    <sheetView workbookViewId="0">
      <selection activeCell="D5" sqref="D5"/>
    </sheetView>
  </sheetViews>
  <sheetFormatPr baseColWidth="10" defaultRowHeight="15" x14ac:dyDescent="0"/>
  <cols>
    <col min="1" max="1" width="6.33203125" customWidth="1"/>
    <col min="2" max="2" width="30.8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762</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ROUND(F82,0)</f>
        <v>2000</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300</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D3+E80-D11</f>
        <v>300</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17"/>
      <c r="D18" s="481" t="s">
        <v>7</v>
      </c>
      <c r="E18" s="482"/>
      <c r="F18" s="18"/>
      <c r="G18" s="43"/>
      <c r="H18" s="487" t="str">
        <f>A18</f>
        <v>g/cl</v>
      </c>
      <c r="I18" s="489" t="str">
        <f>B18</f>
        <v>Ingrédients</v>
      </c>
      <c r="J18" s="70" t="s">
        <v>7</v>
      </c>
      <c r="M18" s="411">
        <f>100-(D12/((D11+D12)/100))</f>
        <v>85</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242</v>
      </c>
      <c r="B21" s="16"/>
      <c r="C21" s="209"/>
      <c r="D21" s="17"/>
      <c r="E21" s="17"/>
      <c r="F21" s="18"/>
      <c r="G21" s="43"/>
      <c r="H21" s="17"/>
      <c r="I21" s="17"/>
      <c r="J21" s="17"/>
      <c r="L21" s="154"/>
      <c r="P21"/>
      <c r="Q21"/>
    </row>
    <row r="22" spans="1:17">
      <c r="A22" s="438">
        <v>30</v>
      </c>
      <c r="B22" s="2" t="s">
        <v>102</v>
      </c>
      <c r="C22" s="196" t="s">
        <v>673</v>
      </c>
      <c r="D22" s="51">
        <v>229</v>
      </c>
      <c r="E22" s="49">
        <f t="shared" ref="E22:E29" si="0">D22/100*A22</f>
        <v>68.7</v>
      </c>
      <c r="F22" s="18"/>
      <c r="G22" s="43"/>
      <c r="H22" s="55">
        <f t="shared" ref="H22:H29" si="1">IF(E22=0,A22,A22/E22*J22)</f>
        <v>25.5</v>
      </c>
      <c r="I22" s="2" t="str">
        <f t="shared" ref="I22:I29" si="2">B22</f>
        <v>pain complet</v>
      </c>
      <c r="J22" s="49">
        <f>E22*$M$18%</f>
        <v>58.395000000000003</v>
      </c>
      <c r="M22" s="411"/>
      <c r="Q22"/>
    </row>
    <row r="23" spans="1:17">
      <c r="A23" s="438">
        <v>5</v>
      </c>
      <c r="B23" s="2" t="s">
        <v>0</v>
      </c>
      <c r="C23" s="197" t="s">
        <v>674</v>
      </c>
      <c r="D23" s="51">
        <v>747.3</v>
      </c>
      <c r="E23" s="49">
        <f t="shared" si="0"/>
        <v>37.365000000000002</v>
      </c>
      <c r="F23" s="18"/>
      <c r="G23" s="43"/>
      <c r="H23" s="55">
        <f t="shared" si="1"/>
        <v>4.25</v>
      </c>
      <c r="I23" s="2" t="str">
        <f t="shared" si="2"/>
        <v>beurre</v>
      </c>
      <c r="J23" s="49">
        <f t="shared" ref="J23:J29" si="3">E23*$M$18%</f>
        <v>31.760249999999999</v>
      </c>
      <c r="Q23"/>
    </row>
    <row r="24" spans="1:17">
      <c r="A24" s="438">
        <v>10</v>
      </c>
      <c r="B24" s="2" t="s">
        <v>3</v>
      </c>
      <c r="C24" s="197" t="s">
        <v>674</v>
      </c>
      <c r="D24" s="51">
        <v>246</v>
      </c>
      <c r="E24" s="49">
        <f t="shared" si="0"/>
        <v>24.6</v>
      </c>
      <c r="F24" s="18"/>
      <c r="G24" s="43"/>
      <c r="H24" s="55">
        <f t="shared" si="1"/>
        <v>8.5</v>
      </c>
      <c r="I24" s="2" t="str">
        <f t="shared" si="2"/>
        <v>confiture</v>
      </c>
      <c r="J24" s="49">
        <f t="shared" si="3"/>
        <v>20.91</v>
      </c>
      <c r="O24" s="45"/>
      <c r="Q24"/>
    </row>
    <row r="25" spans="1:17">
      <c r="A25" s="438">
        <v>150</v>
      </c>
      <c r="B25" s="2" t="s">
        <v>1</v>
      </c>
      <c r="C25" s="198"/>
      <c r="D25" s="51">
        <v>0</v>
      </c>
      <c r="E25" s="49">
        <f t="shared" si="0"/>
        <v>0</v>
      </c>
      <c r="F25" s="18"/>
      <c r="G25" s="43"/>
      <c r="H25" s="55">
        <f t="shared" si="1"/>
        <v>150</v>
      </c>
      <c r="I25" s="2" t="str">
        <f t="shared" si="2"/>
        <v>café</v>
      </c>
      <c r="J25" s="49">
        <f t="shared" si="3"/>
        <v>0</v>
      </c>
      <c r="O25" s="45"/>
      <c r="Q25"/>
    </row>
    <row r="26" spans="1:17">
      <c r="A26" s="438">
        <v>4</v>
      </c>
      <c r="B26" s="2" t="s">
        <v>2</v>
      </c>
      <c r="C26" s="197" t="s">
        <v>674</v>
      </c>
      <c r="D26" s="51">
        <v>400</v>
      </c>
      <c r="E26" s="49">
        <f t="shared" si="0"/>
        <v>16</v>
      </c>
      <c r="F26" s="18"/>
      <c r="G26" s="43"/>
      <c r="H26" s="55">
        <f t="shared" si="1"/>
        <v>3.4</v>
      </c>
      <c r="I26" s="2" t="str">
        <f t="shared" si="2"/>
        <v>sucre</v>
      </c>
      <c r="J26" s="49">
        <f t="shared" si="3"/>
        <v>13.6</v>
      </c>
      <c r="O26" s="45"/>
      <c r="Q26"/>
    </row>
    <row r="27" spans="1:17">
      <c r="A27" s="438">
        <v>12</v>
      </c>
      <c r="B27" s="2" t="s">
        <v>5</v>
      </c>
      <c r="C27" s="196" t="s">
        <v>673</v>
      </c>
      <c r="D27" s="51">
        <v>161</v>
      </c>
      <c r="E27" s="49">
        <f t="shared" si="0"/>
        <v>19.32</v>
      </c>
      <c r="F27" s="18"/>
      <c r="G27" s="43"/>
      <c r="H27" s="55">
        <f t="shared" si="1"/>
        <v>10.199999999999999</v>
      </c>
      <c r="I27" s="2" t="str">
        <f t="shared" si="2"/>
        <v>crème à café</v>
      </c>
      <c r="J27" s="49">
        <f t="shared" si="3"/>
        <v>16.422000000000001</v>
      </c>
      <c r="O27" s="45"/>
      <c r="Q27"/>
    </row>
    <row r="28" spans="1:17">
      <c r="A28" s="438">
        <v>125</v>
      </c>
      <c r="B28" s="2" t="s">
        <v>123</v>
      </c>
      <c r="C28" s="199" t="s">
        <v>675</v>
      </c>
      <c r="D28" s="51">
        <v>87</v>
      </c>
      <c r="E28" s="49">
        <f t="shared" si="0"/>
        <v>108.75</v>
      </c>
      <c r="F28" s="18"/>
      <c r="G28" s="43"/>
      <c r="H28" s="55">
        <f t="shared" si="1"/>
        <v>106.25</v>
      </c>
      <c r="I28" s="2" t="str">
        <f t="shared" si="2"/>
        <v>yogourt aux fruits</v>
      </c>
      <c r="J28" s="49">
        <f t="shared" si="3"/>
        <v>92.4375</v>
      </c>
      <c r="O28" s="45"/>
      <c r="Q28"/>
    </row>
    <row r="29" spans="1:17">
      <c r="A29" s="438">
        <v>150</v>
      </c>
      <c r="B29" s="2" t="s">
        <v>103</v>
      </c>
      <c r="C29" s="199" t="s">
        <v>675</v>
      </c>
      <c r="D29" s="51">
        <v>45</v>
      </c>
      <c r="E29" s="49">
        <f t="shared" si="0"/>
        <v>67.5</v>
      </c>
      <c r="F29" s="68"/>
      <c r="G29" s="128"/>
      <c r="H29" s="55">
        <f t="shared" si="1"/>
        <v>127.5</v>
      </c>
      <c r="I29" s="2" t="str">
        <f t="shared" si="2"/>
        <v>jus d'orange maison</v>
      </c>
      <c r="J29" s="49">
        <f t="shared" si="3"/>
        <v>57.375</v>
      </c>
      <c r="K29" s="275"/>
      <c r="O29" s="45"/>
      <c r="Q29"/>
    </row>
    <row r="30" spans="1:17">
      <c r="A30" s="42"/>
      <c r="B30" s="131"/>
      <c r="C30" s="200"/>
      <c r="E30" s="130" t="s">
        <v>6</v>
      </c>
      <c r="F30" s="175">
        <f>SUM(E22:E29)</f>
        <v>342.23500000000001</v>
      </c>
      <c r="G30" s="128"/>
      <c r="H30" s="42"/>
      <c r="I30" s="131"/>
      <c r="J30" s="130" t="s">
        <v>6</v>
      </c>
      <c r="K30" s="336">
        <f>SUM(J22:J29)</f>
        <v>290.89974999999998</v>
      </c>
      <c r="L30" s="154"/>
      <c r="O30" s="45"/>
      <c r="Q30"/>
    </row>
    <row r="31" spans="1:17">
      <c r="A31" s="216" t="s">
        <v>225</v>
      </c>
      <c r="B31" s="16"/>
      <c r="C31" s="209"/>
      <c r="D31" s="17"/>
      <c r="E31" s="17"/>
      <c r="F31" s="18"/>
      <c r="G31" s="43"/>
      <c r="H31" s="17"/>
      <c r="I31" s="17"/>
      <c r="J31" s="17"/>
      <c r="L31" s="154"/>
      <c r="P31"/>
      <c r="Q31"/>
    </row>
    <row r="32" spans="1:17">
      <c r="A32" s="66" t="s">
        <v>556</v>
      </c>
      <c r="B32" s="257"/>
      <c r="C32" s="257"/>
      <c r="D32" s="257"/>
      <c r="E32" s="257"/>
      <c r="F32" s="257"/>
      <c r="G32" s="257"/>
      <c r="H32" s="257"/>
      <c r="I32" s="257"/>
      <c r="J32" s="258"/>
      <c r="O32" s="45"/>
      <c r="Q32"/>
    </row>
    <row r="33" spans="1:17">
      <c r="A33" s="439">
        <v>12</v>
      </c>
      <c r="B33" s="2" t="s">
        <v>562</v>
      </c>
      <c r="C33" s="276"/>
      <c r="D33" s="253"/>
      <c r="E33" s="254">
        <f>D33/100*A33</f>
        <v>0</v>
      </c>
      <c r="F33" s="68"/>
      <c r="G33" s="43"/>
      <c r="H33" s="255">
        <f t="shared" ref="H33:H46" si="4">IF(E33=0,A33,A33/E33*J33)</f>
        <v>12</v>
      </c>
      <c r="I33" s="251" t="str">
        <f t="shared" ref="I33:I48" si="5">B33</f>
        <v xml:space="preserve">nuoc-mâm </v>
      </c>
      <c r="J33" s="254">
        <f t="shared" ref="J33:J48" si="6">E33*$M$18%</f>
        <v>0</v>
      </c>
      <c r="O33" s="45"/>
      <c r="Q33"/>
    </row>
    <row r="34" spans="1:17">
      <c r="A34" s="439">
        <v>12</v>
      </c>
      <c r="B34" s="2" t="s">
        <v>563</v>
      </c>
      <c r="C34" s="273" t="s">
        <v>676</v>
      </c>
      <c r="D34" s="253">
        <v>10</v>
      </c>
      <c r="E34" s="49">
        <f>D34/100*A34</f>
        <v>1.2000000000000002</v>
      </c>
      <c r="F34" s="68"/>
      <c r="G34" s="128"/>
      <c r="H34" s="55">
        <f t="shared" si="4"/>
        <v>10.199999999999998</v>
      </c>
      <c r="I34" s="2" t="str">
        <f t="shared" si="5"/>
        <v xml:space="preserve">jus de citron vert </v>
      </c>
      <c r="J34" s="49">
        <f t="shared" si="6"/>
        <v>1.02</v>
      </c>
      <c r="O34" s="45"/>
      <c r="Q34"/>
    </row>
    <row r="35" spans="1:17">
      <c r="A35" s="439">
        <v>6</v>
      </c>
      <c r="B35" s="2" t="s">
        <v>564</v>
      </c>
      <c r="C35" s="197" t="s">
        <v>674</v>
      </c>
      <c r="D35" s="253">
        <v>900</v>
      </c>
      <c r="E35" s="49">
        <f t="shared" ref="E35:E46" si="7">D35/100*A35</f>
        <v>54</v>
      </c>
      <c r="F35" s="68"/>
      <c r="G35" s="128"/>
      <c r="H35" s="55">
        <f t="shared" si="4"/>
        <v>5.0999999999999996</v>
      </c>
      <c r="I35" s="2" t="str">
        <f t="shared" si="5"/>
        <v xml:space="preserve">huile de sésame </v>
      </c>
      <c r="J35" s="49">
        <f t="shared" si="6"/>
        <v>45.9</v>
      </c>
      <c r="O35" s="45"/>
      <c r="Q35"/>
    </row>
    <row r="36" spans="1:17">
      <c r="A36" s="439">
        <v>1</v>
      </c>
      <c r="B36" s="2" t="s">
        <v>565</v>
      </c>
      <c r="C36" s="196" t="s">
        <v>673</v>
      </c>
      <c r="D36" s="253">
        <v>376</v>
      </c>
      <c r="E36" s="49">
        <f t="shared" si="7"/>
        <v>3.76</v>
      </c>
      <c r="F36" s="68"/>
      <c r="G36" s="128"/>
      <c r="H36" s="55">
        <f t="shared" si="4"/>
        <v>0.84999999999999987</v>
      </c>
      <c r="I36" s="2" t="str">
        <f t="shared" si="5"/>
        <v xml:space="preserve">piment en poudre </v>
      </c>
      <c r="J36" s="49">
        <f t="shared" si="6"/>
        <v>3.1959999999999997</v>
      </c>
      <c r="O36" s="45"/>
      <c r="Q36"/>
    </row>
    <row r="37" spans="1:17">
      <c r="A37" s="439">
        <v>6</v>
      </c>
      <c r="B37" s="2" t="s">
        <v>561</v>
      </c>
      <c r="C37" s="273" t="s">
        <v>676</v>
      </c>
      <c r="D37" s="253">
        <v>131</v>
      </c>
      <c r="E37" s="49">
        <f t="shared" si="7"/>
        <v>7.86</v>
      </c>
      <c r="F37" s="68"/>
      <c r="G37" s="128"/>
      <c r="H37" s="55">
        <f t="shared" si="4"/>
        <v>5.0999999999999996</v>
      </c>
      <c r="I37" s="2" t="str">
        <f t="shared" si="5"/>
        <v>ail</v>
      </c>
      <c r="J37" s="49">
        <f t="shared" si="6"/>
        <v>6.681</v>
      </c>
      <c r="O37" s="45"/>
      <c r="Q37"/>
    </row>
    <row r="38" spans="1:17">
      <c r="A38" s="439">
        <v>6</v>
      </c>
      <c r="B38" s="2" t="s">
        <v>176</v>
      </c>
      <c r="C38" s="199" t="s">
        <v>675</v>
      </c>
      <c r="D38" s="253">
        <v>336</v>
      </c>
      <c r="E38" s="49">
        <f t="shared" si="7"/>
        <v>20.16</v>
      </c>
      <c r="F38" s="68"/>
      <c r="G38" s="128"/>
      <c r="H38" s="55">
        <f t="shared" si="4"/>
        <v>5.0999999999999996</v>
      </c>
      <c r="I38" s="2" t="str">
        <f t="shared" si="5"/>
        <v>gingembre</v>
      </c>
      <c r="J38" s="49">
        <f t="shared" si="6"/>
        <v>17.135999999999999</v>
      </c>
      <c r="O38" s="45"/>
      <c r="Q38"/>
    </row>
    <row r="39" spans="1:17">
      <c r="A39" s="439">
        <v>100</v>
      </c>
      <c r="B39" s="2" t="s">
        <v>586</v>
      </c>
      <c r="C39" s="273" t="s">
        <v>676</v>
      </c>
      <c r="D39" s="253">
        <v>56</v>
      </c>
      <c r="E39" s="49">
        <f t="shared" si="7"/>
        <v>56.000000000000007</v>
      </c>
      <c r="F39" s="68"/>
      <c r="G39" s="128"/>
      <c r="H39" s="55">
        <f t="shared" si="4"/>
        <v>85</v>
      </c>
      <c r="I39" s="2" t="str">
        <f t="shared" si="5"/>
        <v xml:space="preserve">crevettes crues décortiquées </v>
      </c>
      <c r="J39" s="49">
        <f t="shared" si="6"/>
        <v>47.6</v>
      </c>
      <c r="O39" s="45"/>
      <c r="Q39"/>
    </row>
    <row r="40" spans="1:17">
      <c r="A40" s="439">
        <v>100</v>
      </c>
      <c r="B40" s="2" t="s">
        <v>585</v>
      </c>
      <c r="C40" s="199" t="s">
        <v>675</v>
      </c>
      <c r="D40" s="253">
        <v>103</v>
      </c>
      <c r="E40" s="49">
        <f t="shared" si="7"/>
        <v>103</v>
      </c>
      <c r="F40" s="68"/>
      <c r="G40" s="128"/>
      <c r="H40" s="55">
        <f t="shared" si="4"/>
        <v>85</v>
      </c>
      <c r="I40" s="2" t="str">
        <f t="shared" si="5"/>
        <v>vermicelles de riz</v>
      </c>
      <c r="J40" s="49">
        <f t="shared" si="6"/>
        <v>87.55</v>
      </c>
      <c r="O40" s="45"/>
      <c r="Q40"/>
    </row>
    <row r="41" spans="1:17">
      <c r="A41" s="439">
        <v>15</v>
      </c>
      <c r="B41" s="2" t="s">
        <v>584</v>
      </c>
      <c r="C41" s="273" t="s">
        <v>676</v>
      </c>
      <c r="D41" s="253">
        <v>35</v>
      </c>
      <c r="E41" s="49">
        <f t="shared" si="7"/>
        <v>5.25</v>
      </c>
      <c r="F41" s="68"/>
      <c r="G41" s="128"/>
      <c r="H41" s="55">
        <f t="shared" si="4"/>
        <v>12.749999999999998</v>
      </c>
      <c r="I41" s="2" t="str">
        <f t="shared" si="5"/>
        <v xml:space="preserve">échalottes </v>
      </c>
      <c r="J41" s="49">
        <f t="shared" si="6"/>
        <v>4.4624999999999995</v>
      </c>
      <c r="O41" s="45"/>
      <c r="Q41"/>
    </row>
    <row r="42" spans="1:17">
      <c r="A42" s="439">
        <v>5</v>
      </c>
      <c r="B42" s="2" t="s">
        <v>583</v>
      </c>
      <c r="C42" s="273" t="s">
        <v>676</v>
      </c>
      <c r="D42" s="253">
        <v>22</v>
      </c>
      <c r="E42" s="49">
        <f t="shared" si="7"/>
        <v>1.1000000000000001</v>
      </c>
      <c r="F42" s="68"/>
      <c r="G42" s="128"/>
      <c r="H42" s="55">
        <f t="shared" si="4"/>
        <v>4.25</v>
      </c>
      <c r="I42" s="2" t="str">
        <f>B42</f>
        <v xml:space="preserve">coriandre </v>
      </c>
      <c r="J42" s="49">
        <f>E42*$M$18%</f>
        <v>0.93500000000000005</v>
      </c>
      <c r="O42" s="45"/>
      <c r="P42"/>
      <c r="Q42"/>
    </row>
    <row r="43" spans="1:17">
      <c r="A43" s="439">
        <v>5</v>
      </c>
      <c r="B43" s="2" t="s">
        <v>171</v>
      </c>
      <c r="C43" s="273" t="s">
        <v>676</v>
      </c>
      <c r="D43" s="253">
        <v>49</v>
      </c>
      <c r="E43" s="49">
        <f t="shared" si="7"/>
        <v>2.4500000000000002</v>
      </c>
      <c r="F43" s="68"/>
      <c r="G43" s="128"/>
      <c r="H43" s="55">
        <f t="shared" si="4"/>
        <v>4.25</v>
      </c>
      <c r="I43" s="2" t="str">
        <f t="shared" si="5"/>
        <v>menthe</v>
      </c>
      <c r="J43" s="49">
        <f t="shared" si="6"/>
        <v>2.0825</v>
      </c>
      <c r="O43" s="45"/>
      <c r="Q43"/>
    </row>
    <row r="44" spans="1:17">
      <c r="A44" s="439">
        <v>75</v>
      </c>
      <c r="B44" s="2" t="s">
        <v>582</v>
      </c>
      <c r="C44" s="273" t="s">
        <v>676</v>
      </c>
      <c r="D44" s="253">
        <v>41</v>
      </c>
      <c r="E44" s="49">
        <f t="shared" si="7"/>
        <v>30.749999999999996</v>
      </c>
      <c r="F44" s="68"/>
      <c r="G44" s="128"/>
      <c r="H44" s="55">
        <f t="shared" si="4"/>
        <v>63.75</v>
      </c>
      <c r="I44" s="2" t="str">
        <f t="shared" si="5"/>
        <v>mélange de légumes asiatiques</v>
      </c>
      <c r="J44" s="49">
        <f t="shared" si="6"/>
        <v>26.137499999999996</v>
      </c>
      <c r="O44" s="45"/>
      <c r="Q44"/>
    </row>
    <row r="45" spans="1:17">
      <c r="A45" s="439">
        <v>3</v>
      </c>
      <c r="B45" s="251" t="s">
        <v>108</v>
      </c>
      <c r="C45" s="197" t="s">
        <v>674</v>
      </c>
      <c r="D45" s="253">
        <v>899</v>
      </c>
      <c r="E45" s="49">
        <f t="shared" ref="E45" si="8">D45/100*A45</f>
        <v>26.97</v>
      </c>
      <c r="F45" s="68"/>
      <c r="G45" s="128"/>
      <c r="H45" s="55">
        <f t="shared" ref="H45" si="9">IF(E45=0,A45,A45/E45*J45)</f>
        <v>2.5499999999999998</v>
      </c>
      <c r="I45" s="2" t="str">
        <f t="shared" ref="I45" si="10">B45</f>
        <v>huile d'olive</v>
      </c>
      <c r="J45" s="49">
        <f t="shared" ref="J45" si="11">E45*$M$18%</f>
        <v>22.924499999999998</v>
      </c>
      <c r="O45" s="45"/>
      <c r="Q45"/>
    </row>
    <row r="46" spans="1:17">
      <c r="A46" s="439">
        <v>30</v>
      </c>
      <c r="B46" s="251" t="s">
        <v>380</v>
      </c>
      <c r="C46" s="196" t="s">
        <v>673</v>
      </c>
      <c r="D46" s="253">
        <v>262</v>
      </c>
      <c r="E46" s="49">
        <f t="shared" si="7"/>
        <v>78.600000000000009</v>
      </c>
      <c r="F46" s="68"/>
      <c r="G46" s="128"/>
      <c r="H46" s="55">
        <f t="shared" si="4"/>
        <v>25.5</v>
      </c>
      <c r="I46" s="2" t="str">
        <f t="shared" si="5"/>
        <v>pain de campagne</v>
      </c>
      <c r="J46" s="49">
        <f t="shared" si="6"/>
        <v>66.81</v>
      </c>
      <c r="O46" s="45"/>
      <c r="Q46"/>
    </row>
    <row r="47" spans="1:17">
      <c r="A47" s="66" t="s">
        <v>127</v>
      </c>
      <c r="B47" s="63"/>
      <c r="C47" s="202"/>
      <c r="D47" s="63"/>
      <c r="E47" s="64"/>
      <c r="F47" s="68"/>
      <c r="G47" s="43"/>
      <c r="H47" s="65"/>
      <c r="I47" s="63"/>
      <c r="J47" s="67"/>
      <c r="O47" s="45"/>
      <c r="Q47"/>
    </row>
    <row r="48" spans="1:17">
      <c r="A48" s="439">
        <v>150</v>
      </c>
      <c r="B48" s="251" t="s">
        <v>581</v>
      </c>
      <c r="C48" s="199" t="s">
        <v>675</v>
      </c>
      <c r="D48" s="253">
        <v>68</v>
      </c>
      <c r="E48" s="49">
        <f>D48/100*A48</f>
        <v>102.00000000000001</v>
      </c>
      <c r="F48" s="18"/>
      <c r="G48" s="43"/>
      <c r="H48" s="55">
        <f>IF(E48=0,A48,A48/E48*J48)</f>
        <v>127.5</v>
      </c>
      <c r="I48" s="56" t="str">
        <f t="shared" si="5"/>
        <v xml:space="preserve"> raisins blanc</v>
      </c>
      <c r="J48" s="49">
        <f t="shared" si="6"/>
        <v>86.7</v>
      </c>
      <c r="K48" s="275"/>
      <c r="O48" s="45"/>
      <c r="P48"/>
      <c r="Q48"/>
    </row>
    <row r="49" spans="1:17">
      <c r="A49" s="42"/>
      <c r="B49" s="131"/>
      <c r="C49" s="200"/>
      <c r="E49" s="130" t="s">
        <v>6</v>
      </c>
      <c r="F49" s="138">
        <f>SUM(E33:E48)</f>
        <v>493.1</v>
      </c>
      <c r="G49" s="128"/>
      <c r="H49" s="42"/>
      <c r="I49" s="131"/>
      <c r="J49" s="130" t="s">
        <v>6</v>
      </c>
      <c r="K49" s="336">
        <f>SUM(J33:J48)</f>
        <v>419.13499999999999</v>
      </c>
      <c r="O49" s="45"/>
      <c r="Q49"/>
    </row>
    <row r="50" spans="1:17" ht="6" customHeight="1">
      <c r="A50" s="17"/>
      <c r="B50" s="17"/>
      <c r="C50" s="188"/>
      <c r="D50" s="68"/>
      <c r="E50" s="17"/>
      <c r="F50" s="18"/>
      <c r="G50" s="43"/>
      <c r="H50" s="17"/>
      <c r="I50" s="17"/>
      <c r="J50" s="17"/>
      <c r="L50" s="154"/>
      <c r="O50" s="45"/>
      <c r="P50"/>
      <c r="Q50"/>
    </row>
    <row r="51" spans="1:17">
      <c r="A51" s="216" t="s">
        <v>228</v>
      </c>
      <c r="B51" s="16"/>
      <c r="C51" s="209"/>
      <c r="D51" s="17"/>
      <c r="E51" s="17"/>
      <c r="F51" s="18"/>
      <c r="G51" s="43"/>
      <c r="H51" s="17"/>
      <c r="I51" s="17"/>
      <c r="J51" s="17"/>
      <c r="P51"/>
      <c r="Q51"/>
    </row>
    <row r="52" spans="1:17">
      <c r="A52" s="438">
        <v>30</v>
      </c>
      <c r="B52" s="2" t="s">
        <v>580</v>
      </c>
      <c r="C52" s="197" t="s">
        <v>674</v>
      </c>
      <c r="D52" s="51">
        <v>400</v>
      </c>
      <c r="E52" s="49">
        <f>D52/100*A52</f>
        <v>120</v>
      </c>
      <c r="F52" s="18"/>
      <c r="G52" s="43"/>
      <c r="H52" s="55">
        <f>IF(E52=0,A52,A52/E52*J52)</f>
        <v>25.5</v>
      </c>
      <c r="I52" s="2" t="str">
        <f>B52</f>
        <v>meringues de Gruyères</v>
      </c>
      <c r="J52" s="49">
        <f>E52*$M$18%</f>
        <v>102</v>
      </c>
    </row>
    <row r="53" spans="1:17">
      <c r="A53" s="438">
        <v>24</v>
      </c>
      <c r="B53" s="2" t="s">
        <v>570</v>
      </c>
      <c r="C53" s="197" t="s">
        <v>674</v>
      </c>
      <c r="D53" s="51">
        <v>425</v>
      </c>
      <c r="E53" s="49">
        <f t="shared" ref="E53:E54" si="12">D53/100*A53</f>
        <v>102</v>
      </c>
      <c r="F53" s="18"/>
      <c r="G53" s="43"/>
      <c r="H53" s="55">
        <f t="shared" ref="H53:H54" si="13">IF(E53=0,A53,A53/E53*J53)</f>
        <v>20.400000000000002</v>
      </c>
      <c r="I53" s="2" t="str">
        <f t="shared" ref="I53:I54" si="14">B53</f>
        <v>crème double</v>
      </c>
      <c r="J53" s="49">
        <f t="shared" ref="J53:J54" si="15">E53*$M$18%</f>
        <v>86.7</v>
      </c>
    </row>
    <row r="54" spans="1:17">
      <c r="A54" s="438">
        <v>8</v>
      </c>
      <c r="B54" s="2" t="s">
        <v>2</v>
      </c>
      <c r="C54" s="197" t="s">
        <v>674</v>
      </c>
      <c r="D54" s="51">
        <v>400</v>
      </c>
      <c r="E54" s="49">
        <f t="shared" si="12"/>
        <v>32</v>
      </c>
      <c r="F54" s="18"/>
      <c r="G54" s="43"/>
      <c r="H54" s="55">
        <f t="shared" si="13"/>
        <v>6.8</v>
      </c>
      <c r="I54" s="2" t="str">
        <f t="shared" si="14"/>
        <v>sucre</v>
      </c>
      <c r="J54" s="49">
        <f t="shared" si="15"/>
        <v>27.2</v>
      </c>
      <c r="L54" s="154"/>
    </row>
    <row r="55" spans="1:17">
      <c r="A55" s="42"/>
      <c r="B55" s="157"/>
      <c r="C55" s="272"/>
      <c r="E55" s="130" t="s">
        <v>6</v>
      </c>
      <c r="F55" s="314">
        <f>SUM(E52:E54)</f>
        <v>254</v>
      </c>
      <c r="G55" s="140"/>
      <c r="H55" s="42"/>
      <c r="I55" s="131"/>
      <c r="J55" s="130" t="s">
        <v>6</v>
      </c>
      <c r="K55" s="336">
        <f>SUM(J52:J54)</f>
        <v>215.89999999999998</v>
      </c>
      <c r="L55" s="154"/>
      <c r="O55" s="45"/>
      <c r="Q55"/>
    </row>
    <row r="56" spans="1:17">
      <c r="A56" s="216" t="s">
        <v>226</v>
      </c>
      <c r="B56" s="16"/>
      <c r="C56" s="209"/>
      <c r="D56" s="17"/>
      <c r="E56" s="17"/>
      <c r="F56" s="18"/>
      <c r="G56" s="43"/>
      <c r="H56" s="17"/>
      <c r="I56" s="17"/>
      <c r="J56" s="17"/>
      <c r="P56"/>
      <c r="Q56"/>
    </row>
    <row r="57" spans="1:17">
      <c r="A57" s="66" t="s">
        <v>566</v>
      </c>
      <c r="B57" s="257"/>
      <c r="C57" s="257"/>
      <c r="D57" s="257"/>
      <c r="E57" s="257"/>
      <c r="F57" s="257"/>
      <c r="G57" s="257"/>
      <c r="H57" s="257"/>
      <c r="I57" s="257"/>
      <c r="J57" s="258"/>
      <c r="O57" s="45"/>
      <c r="Q57"/>
    </row>
    <row r="58" spans="1:17">
      <c r="A58" s="439">
        <v>250</v>
      </c>
      <c r="B58" s="2" t="s">
        <v>571</v>
      </c>
      <c r="C58" s="273" t="s">
        <v>676</v>
      </c>
      <c r="D58" s="253">
        <v>5</v>
      </c>
      <c r="E58" s="49">
        <f t="shared" ref="E58:E72" si="16">D58/100*A58</f>
        <v>12.5</v>
      </c>
      <c r="F58" s="68"/>
      <c r="G58" s="128"/>
      <c r="H58" s="55">
        <f t="shared" ref="H58" si="17">IF(E58=0,A58,A58/E58*J58)</f>
        <v>212.5</v>
      </c>
      <c r="I58" s="2" t="str">
        <f t="shared" ref="I58:I71" si="18">B58</f>
        <v xml:space="preserve"> bouillon de légumes</v>
      </c>
      <c r="J58" s="49">
        <f t="shared" ref="J58:J80" si="19">E58*$M$18%</f>
        <v>10.625</v>
      </c>
      <c r="O58" s="45"/>
      <c r="P58"/>
      <c r="Q58"/>
    </row>
    <row r="59" spans="1:17">
      <c r="A59" s="439">
        <v>125</v>
      </c>
      <c r="B59" s="2" t="s">
        <v>574</v>
      </c>
      <c r="C59" s="319"/>
      <c r="D59" s="253"/>
      <c r="E59" s="49">
        <f t="shared" si="16"/>
        <v>0</v>
      </c>
      <c r="F59" s="68"/>
      <c r="G59" s="128"/>
      <c r="H59" s="55">
        <f t="shared" ref="H59:H72" si="20">IF(E59=0,A60,A60/E59*J59)</f>
        <v>3</v>
      </c>
      <c r="I59" s="2" t="str">
        <f t="shared" si="18"/>
        <v xml:space="preserve"> vin blanc</v>
      </c>
      <c r="J59" s="49">
        <f t="shared" si="19"/>
        <v>0</v>
      </c>
      <c r="O59" s="45"/>
      <c r="P59"/>
      <c r="Q59"/>
    </row>
    <row r="60" spans="1:17">
      <c r="A60" s="439">
        <v>3</v>
      </c>
      <c r="B60" s="2" t="s">
        <v>148</v>
      </c>
      <c r="C60" s="273" t="s">
        <v>676</v>
      </c>
      <c r="D60" s="253">
        <v>28</v>
      </c>
      <c r="E60" s="49">
        <f t="shared" si="16"/>
        <v>0.84000000000000008</v>
      </c>
      <c r="F60" s="68"/>
      <c r="G60" s="128"/>
      <c r="H60" s="55">
        <f t="shared" si="20"/>
        <v>2.125</v>
      </c>
      <c r="I60" s="2" t="str">
        <f t="shared" si="18"/>
        <v>persil</v>
      </c>
      <c r="J60" s="49">
        <f t="shared" si="19"/>
        <v>0.71400000000000008</v>
      </c>
      <c r="O60" s="45"/>
      <c r="P60"/>
      <c r="Q60"/>
    </row>
    <row r="61" spans="1:17">
      <c r="A61" s="439">
        <v>2.5</v>
      </c>
      <c r="B61" s="2" t="s">
        <v>152</v>
      </c>
      <c r="C61" s="273" t="s">
        <v>676</v>
      </c>
      <c r="D61" s="253">
        <v>52</v>
      </c>
      <c r="E61" s="49">
        <f t="shared" si="16"/>
        <v>1.3</v>
      </c>
      <c r="F61" s="68"/>
      <c r="G61" s="128"/>
      <c r="H61" s="55">
        <f t="shared" si="20"/>
        <v>127.5</v>
      </c>
      <c r="I61" s="2" t="str">
        <f t="shared" si="18"/>
        <v>thym</v>
      </c>
      <c r="J61" s="49">
        <f t="shared" si="19"/>
        <v>1.105</v>
      </c>
      <c r="O61" s="45"/>
      <c r="P61"/>
      <c r="Q61"/>
    </row>
    <row r="62" spans="1:17">
      <c r="A62" s="439">
        <v>150</v>
      </c>
      <c r="B62" s="2" t="s">
        <v>572</v>
      </c>
      <c r="C62" s="273" t="s">
        <v>676</v>
      </c>
      <c r="D62" s="253">
        <v>113</v>
      </c>
      <c r="E62" s="49">
        <f t="shared" si="16"/>
        <v>169.49999999999997</v>
      </c>
      <c r="F62" s="68"/>
      <c r="G62" s="128"/>
      <c r="H62" s="55">
        <f t="shared" si="20"/>
        <v>84.999999999999986</v>
      </c>
      <c r="I62" s="2" t="str">
        <f t="shared" si="18"/>
        <v>filets de féra avec peau</v>
      </c>
      <c r="J62" s="49">
        <f t="shared" si="19"/>
        <v>144.07499999999996</v>
      </c>
      <c r="O62" s="45"/>
      <c r="P62"/>
      <c r="Q62"/>
    </row>
    <row r="63" spans="1:17">
      <c r="A63" s="439">
        <v>100</v>
      </c>
      <c r="B63" s="2" t="s">
        <v>141</v>
      </c>
      <c r="C63" s="273" t="s">
        <v>676</v>
      </c>
      <c r="D63" s="253">
        <v>30</v>
      </c>
      <c r="E63" s="49">
        <f t="shared" si="16"/>
        <v>30</v>
      </c>
      <c r="F63" s="68"/>
      <c r="G63" s="128"/>
      <c r="H63" s="55">
        <f t="shared" si="20"/>
        <v>21.25</v>
      </c>
      <c r="I63" s="2" t="str">
        <f t="shared" si="18"/>
        <v>carottes</v>
      </c>
      <c r="J63" s="49">
        <f t="shared" si="19"/>
        <v>25.5</v>
      </c>
      <c r="O63" s="45"/>
      <c r="P63"/>
      <c r="Q63"/>
    </row>
    <row r="64" spans="1:17">
      <c r="A64" s="439">
        <v>25</v>
      </c>
      <c r="B64" s="2" t="s">
        <v>573</v>
      </c>
      <c r="C64" s="273" t="s">
        <v>676</v>
      </c>
      <c r="D64" s="253">
        <v>14</v>
      </c>
      <c r="E64" s="49">
        <f t="shared" si="16"/>
        <v>3.5000000000000004</v>
      </c>
      <c r="F64" s="68"/>
      <c r="G64" s="128"/>
      <c r="H64" s="55">
        <f t="shared" si="20"/>
        <v>6.375</v>
      </c>
      <c r="I64" s="2" t="str">
        <f t="shared" si="18"/>
        <v>branches de céleri</v>
      </c>
      <c r="J64" s="49">
        <f t="shared" si="19"/>
        <v>2.9750000000000001</v>
      </c>
      <c r="O64" s="45"/>
      <c r="P64"/>
      <c r="Q64"/>
    </row>
    <row r="65" spans="1:17">
      <c r="A65" s="439">
        <v>7.5</v>
      </c>
      <c r="B65" s="2" t="s">
        <v>394</v>
      </c>
      <c r="C65" s="273" t="s">
        <v>676</v>
      </c>
      <c r="D65" s="253">
        <v>35</v>
      </c>
      <c r="E65" s="49">
        <f t="shared" si="16"/>
        <v>2.625</v>
      </c>
      <c r="F65" s="68"/>
      <c r="G65" s="128"/>
      <c r="H65" s="55">
        <f t="shared" si="20"/>
        <v>4.2499999999999991</v>
      </c>
      <c r="I65" s="2" t="str">
        <f t="shared" si="18"/>
        <v>échalote</v>
      </c>
      <c r="J65" s="49">
        <f t="shared" si="19"/>
        <v>2.2312499999999997</v>
      </c>
      <c r="O65" s="45"/>
      <c r="P65"/>
      <c r="Q65"/>
    </row>
    <row r="66" spans="1:17">
      <c r="A66" s="439">
        <v>5</v>
      </c>
      <c r="B66" s="2" t="s">
        <v>0</v>
      </c>
      <c r="C66" s="197" t="s">
        <v>674</v>
      </c>
      <c r="D66" s="253">
        <v>747</v>
      </c>
      <c r="E66" s="49">
        <f t="shared" si="16"/>
        <v>37.35</v>
      </c>
      <c r="F66" s="68"/>
      <c r="G66" s="128"/>
      <c r="H66" s="55">
        <f t="shared" si="20"/>
        <v>74.374999999999986</v>
      </c>
      <c r="I66" s="2" t="str">
        <f t="shared" si="18"/>
        <v>beurre</v>
      </c>
      <c r="J66" s="49">
        <f t="shared" si="19"/>
        <v>31.747499999999999</v>
      </c>
      <c r="O66" s="45"/>
      <c r="P66"/>
      <c r="Q66"/>
    </row>
    <row r="67" spans="1:17">
      <c r="A67" s="439">
        <f>350/4</f>
        <v>87.5</v>
      </c>
      <c r="B67" s="2" t="s">
        <v>437</v>
      </c>
      <c r="C67" s="197" t="s">
        <v>674</v>
      </c>
      <c r="D67" s="253">
        <v>385</v>
      </c>
      <c r="E67" s="49">
        <f t="shared" si="16"/>
        <v>336.875</v>
      </c>
      <c r="F67" s="68"/>
      <c r="G67" s="128"/>
      <c r="H67" s="55">
        <f t="shared" si="20"/>
        <v>6.375</v>
      </c>
      <c r="I67" s="2" t="str">
        <f t="shared" si="18"/>
        <v>mascarpone</v>
      </c>
      <c r="J67" s="49">
        <f t="shared" si="19"/>
        <v>286.34375</v>
      </c>
      <c r="L67" s="154"/>
      <c r="O67" s="45"/>
      <c r="P67"/>
      <c r="Q67"/>
    </row>
    <row r="68" spans="1:17">
      <c r="A68" s="439">
        <v>7.5</v>
      </c>
      <c r="B68" s="2" t="s">
        <v>575</v>
      </c>
      <c r="C68" s="273" t="s">
        <v>676</v>
      </c>
      <c r="D68" s="253">
        <v>19</v>
      </c>
      <c r="E68" s="49">
        <f t="shared" si="16"/>
        <v>1.425</v>
      </c>
      <c r="F68" s="68"/>
      <c r="G68" s="128"/>
      <c r="H68" s="55">
        <f t="shared" si="20"/>
        <v>53.124999999999993</v>
      </c>
      <c r="I68" s="2" t="str">
        <f t="shared" si="18"/>
        <v xml:space="preserve">aïl des ours </v>
      </c>
      <c r="J68" s="49">
        <f t="shared" si="19"/>
        <v>1.2112499999999999</v>
      </c>
      <c r="L68" s="154"/>
      <c r="O68" s="45"/>
      <c r="P68"/>
      <c r="Q68"/>
    </row>
    <row r="69" spans="1:17">
      <c r="A69" s="439">
        <f>250/4</f>
        <v>62.5</v>
      </c>
      <c r="B69" s="2" t="s">
        <v>567</v>
      </c>
      <c r="C69" s="199" t="s">
        <v>675</v>
      </c>
      <c r="D69" s="253">
        <v>116</v>
      </c>
      <c r="E69" s="49">
        <f t="shared" si="16"/>
        <v>72.5</v>
      </c>
      <c r="F69" s="68"/>
      <c r="G69" s="128"/>
      <c r="H69" s="55">
        <f t="shared" si="20"/>
        <v>6.375</v>
      </c>
      <c r="I69" s="2" t="str">
        <f t="shared" si="18"/>
        <v>feuilles de lasagne sèches</v>
      </c>
      <c r="J69" s="49">
        <f t="shared" si="19"/>
        <v>61.625</v>
      </c>
      <c r="L69" s="154"/>
      <c r="O69" s="45"/>
      <c r="P69"/>
      <c r="Q69"/>
    </row>
    <row r="70" spans="1:17">
      <c r="A70" s="439">
        <v>7.5</v>
      </c>
      <c r="B70" s="2" t="s">
        <v>576</v>
      </c>
      <c r="C70" s="199" t="s">
        <v>675</v>
      </c>
      <c r="D70" s="253">
        <v>576</v>
      </c>
      <c r="E70" s="49">
        <f t="shared" si="16"/>
        <v>43.199999999999996</v>
      </c>
      <c r="F70" s="68"/>
      <c r="G70" s="128"/>
      <c r="H70" s="55">
        <f t="shared" si="20"/>
        <v>42.5</v>
      </c>
      <c r="I70" s="2" t="str">
        <f t="shared" si="18"/>
        <v>amandes effilées</v>
      </c>
      <c r="J70" s="49">
        <f t="shared" si="19"/>
        <v>36.72</v>
      </c>
      <c r="L70" s="154"/>
      <c r="O70" s="45"/>
      <c r="P70"/>
      <c r="Q70"/>
    </row>
    <row r="71" spans="1:17">
      <c r="A71" s="439">
        <v>50</v>
      </c>
      <c r="B71" s="2" t="s">
        <v>568</v>
      </c>
      <c r="C71" s="273" t="s">
        <v>676</v>
      </c>
      <c r="D71" s="253">
        <v>20</v>
      </c>
      <c r="E71" s="49">
        <f t="shared" si="16"/>
        <v>10</v>
      </c>
      <c r="F71" s="68"/>
      <c r="G71" s="128"/>
      <c r="H71" s="55">
        <f t="shared" si="20"/>
        <v>10.199999999999999</v>
      </c>
      <c r="I71" s="2" t="str">
        <f t="shared" si="18"/>
        <v>salade de rampon</v>
      </c>
      <c r="J71" s="49">
        <f t="shared" si="19"/>
        <v>8.5</v>
      </c>
      <c r="K71" s="275"/>
      <c r="L71" s="154"/>
      <c r="O71" s="45"/>
      <c r="P71"/>
      <c r="Q71"/>
    </row>
    <row r="72" spans="1:17">
      <c r="A72" s="439">
        <v>12</v>
      </c>
      <c r="B72" s="2" t="s">
        <v>162</v>
      </c>
      <c r="C72" s="197" t="s">
        <v>674</v>
      </c>
      <c r="D72" s="51">
        <v>446</v>
      </c>
      <c r="E72" s="49">
        <f t="shared" si="16"/>
        <v>53.519999999999996</v>
      </c>
      <c r="F72" s="68"/>
      <c r="G72" s="128"/>
      <c r="H72" s="55">
        <f t="shared" si="20"/>
        <v>0</v>
      </c>
      <c r="I72" s="2" t="str">
        <f t="shared" ref="I72" si="21">B72</f>
        <v>sauce française</v>
      </c>
      <c r="J72" s="49">
        <f t="shared" ref="J72" si="22">E72*$M$18%</f>
        <v>45.491999999999997</v>
      </c>
      <c r="L72" s="154"/>
      <c r="O72" s="45"/>
      <c r="P72"/>
      <c r="Q72"/>
    </row>
    <row r="73" spans="1:17">
      <c r="A73" s="42"/>
      <c r="B73" s="131"/>
      <c r="C73" s="200"/>
      <c r="E73" s="130" t="s">
        <v>6</v>
      </c>
      <c r="F73" s="138">
        <f>SUM(E58:E72)</f>
        <v>775.13499999999999</v>
      </c>
      <c r="G73" s="140"/>
      <c r="H73" s="42"/>
      <c r="I73" s="131"/>
      <c r="J73" s="130" t="s">
        <v>6</v>
      </c>
      <c r="K73" s="336">
        <f>SUM(J58:J72)</f>
        <v>658.86474999999996</v>
      </c>
      <c r="L73" s="154"/>
      <c r="O73" s="45"/>
      <c r="Q73"/>
    </row>
    <row r="74" spans="1:17">
      <c r="A74" s="66" t="s">
        <v>569</v>
      </c>
      <c r="B74" s="257"/>
      <c r="C74" s="257"/>
      <c r="D74" s="257"/>
      <c r="E74" s="257"/>
      <c r="F74" s="259"/>
      <c r="G74" s="260"/>
      <c r="H74" s="257"/>
      <c r="I74" s="257"/>
      <c r="J74" s="258"/>
      <c r="O74" s="45"/>
      <c r="Q74"/>
    </row>
    <row r="75" spans="1:17">
      <c r="A75" s="439">
        <v>125</v>
      </c>
      <c r="B75" s="2" t="s">
        <v>577</v>
      </c>
      <c r="C75" s="273" t="s">
        <v>676</v>
      </c>
      <c r="D75" s="253">
        <v>48</v>
      </c>
      <c r="E75" s="49">
        <f t="shared" ref="E75:E78" si="23">D75/100*A75</f>
        <v>60</v>
      </c>
      <c r="F75" s="68"/>
      <c r="G75" s="128"/>
      <c r="H75" s="55">
        <f>IF(E75=0,A75,A75/E75*J75)</f>
        <v>106.25000000000001</v>
      </c>
      <c r="I75" s="2" t="str">
        <f>B75</f>
        <v>myrtilles congelées</v>
      </c>
      <c r="J75" s="49">
        <f t="shared" si="19"/>
        <v>51</v>
      </c>
      <c r="K75" s="241"/>
      <c r="O75" s="45"/>
      <c r="P75"/>
      <c r="Q75"/>
    </row>
    <row r="76" spans="1:17">
      <c r="A76" s="439">
        <v>45</v>
      </c>
      <c r="B76" s="2" t="s">
        <v>578</v>
      </c>
      <c r="C76" s="196" t="s">
        <v>673</v>
      </c>
      <c r="D76" s="253">
        <v>127</v>
      </c>
      <c r="E76" s="49">
        <f t="shared" si="23"/>
        <v>57.15</v>
      </c>
      <c r="F76" s="68"/>
      <c r="G76" s="128"/>
      <c r="H76" s="55">
        <f>IF(E76=0,A76,A76/E76*J76)</f>
        <v>38.25</v>
      </c>
      <c r="I76" s="2" t="str">
        <f t="shared" ref="I76:I78" si="24">B76</f>
        <v>yougourt grec</v>
      </c>
      <c r="J76" s="49">
        <f t="shared" si="19"/>
        <v>48.577500000000001</v>
      </c>
      <c r="K76" s="241"/>
      <c r="O76" s="45"/>
      <c r="P76"/>
      <c r="Q76"/>
    </row>
    <row r="77" spans="1:17">
      <c r="A77" s="439">
        <v>6</v>
      </c>
      <c r="B77" s="2" t="s">
        <v>207</v>
      </c>
      <c r="C77" s="196" t="s">
        <v>673</v>
      </c>
      <c r="D77" s="253">
        <v>306</v>
      </c>
      <c r="E77" s="49">
        <f t="shared" si="23"/>
        <v>18.36</v>
      </c>
      <c r="F77" s="68"/>
      <c r="G77" s="128"/>
      <c r="H77" s="55">
        <f>IF(E77=0,A77,A77/E77*J77)</f>
        <v>5.0999999999999996</v>
      </c>
      <c r="I77" s="2" t="str">
        <f t="shared" si="24"/>
        <v>miel</v>
      </c>
      <c r="J77" s="49">
        <f t="shared" si="19"/>
        <v>15.606</v>
      </c>
      <c r="K77" s="241"/>
      <c r="O77" s="45"/>
      <c r="P77"/>
      <c r="Q77"/>
    </row>
    <row r="78" spans="1:17">
      <c r="A78" s="439">
        <v>3</v>
      </c>
      <c r="B78" s="2" t="s">
        <v>579</v>
      </c>
      <c r="C78" s="273" t="s">
        <v>676</v>
      </c>
      <c r="D78" s="253">
        <v>17</v>
      </c>
      <c r="E78" s="49">
        <f t="shared" si="23"/>
        <v>0.51</v>
      </c>
      <c r="F78" s="68"/>
      <c r="G78" s="128"/>
      <c r="H78" s="55">
        <f>IF(E78=0,A78,A78/E78*J78)</f>
        <v>2.5499999999999998</v>
      </c>
      <c r="I78" s="2" t="str">
        <f t="shared" si="24"/>
        <v>jus de citron</v>
      </c>
      <c r="J78" s="49">
        <f t="shared" si="19"/>
        <v>0.4335</v>
      </c>
      <c r="K78" s="241"/>
      <c r="O78" s="45"/>
      <c r="P78"/>
      <c r="Q78"/>
    </row>
    <row r="79" spans="1:17">
      <c r="A79" s="42"/>
      <c r="B79" s="131"/>
      <c r="C79" s="201"/>
      <c r="E79" s="143" t="s">
        <v>6</v>
      </c>
      <c r="F79" s="135">
        <f>SUM(E75:E78)</f>
        <v>136.01999999999998</v>
      </c>
      <c r="G79" s="25"/>
      <c r="H79" s="42"/>
      <c r="I79" s="131"/>
      <c r="J79" s="143" t="s">
        <v>6</v>
      </c>
      <c r="K79" s="336">
        <f>SUM(J75:J78)</f>
        <v>115.61699999999999</v>
      </c>
      <c r="O79" s="45"/>
      <c r="Q79"/>
    </row>
    <row r="80" spans="1:17">
      <c r="A80" s="54">
        <f>IF(D5="non",0,IF(D5="1 verre",125,250))</f>
        <v>0</v>
      </c>
      <c r="B80" s="2" t="str">
        <f>IF(A80=0,"","vin")</f>
        <v/>
      </c>
      <c r="C80" s="203"/>
      <c r="D80" s="51">
        <v>80</v>
      </c>
      <c r="E80" s="49">
        <f>D80/100*A80</f>
        <v>0</v>
      </c>
      <c r="G80" s="142"/>
      <c r="H80" s="55">
        <f>IF(E80=0,A80,A80/E80*J80)</f>
        <v>0</v>
      </c>
      <c r="I80" s="2" t="str">
        <f>B80</f>
        <v/>
      </c>
      <c r="J80" s="49">
        <f t="shared" si="19"/>
        <v>0</v>
      </c>
      <c r="K80" s="335"/>
      <c r="O80" s="45"/>
      <c r="P80"/>
      <c r="Q80"/>
    </row>
    <row r="81" spans="1:17" ht="6" customHeight="1">
      <c r="A81" s="17"/>
      <c r="B81" s="17"/>
      <c r="C81" s="188"/>
      <c r="D81" s="68"/>
      <c r="E81" s="17"/>
      <c r="F81" s="18"/>
      <c r="G81" s="204"/>
      <c r="H81" s="17"/>
      <c r="I81" s="17"/>
      <c r="J81" s="17"/>
      <c r="K81" s="335"/>
      <c r="P81"/>
      <c r="Q81"/>
    </row>
    <row r="82" spans="1:17">
      <c r="A82" s="17"/>
      <c r="B82" s="17"/>
      <c r="C82" s="188"/>
      <c r="D82" s="69" t="s">
        <v>129</v>
      </c>
      <c r="F82" s="138">
        <f>SUM(F22:F79)</f>
        <v>2000.49</v>
      </c>
      <c r="G82" s="204"/>
      <c r="H82" s="17"/>
      <c r="I82" s="69" t="s">
        <v>129</v>
      </c>
      <c r="K82" s="336">
        <f>SUM(K22:K79)</f>
        <v>1700.4165</v>
      </c>
      <c r="P82"/>
      <c r="Q82"/>
    </row>
    <row r="83" spans="1:17">
      <c r="A83" s="17"/>
      <c r="B83" s="17"/>
      <c r="C83" s="188"/>
      <c r="D83" s="18" t="s">
        <v>130</v>
      </c>
      <c r="E83" s="25"/>
      <c r="F83" s="144">
        <f>F82+E80</f>
        <v>2000.49</v>
      </c>
      <c r="G83" s="43"/>
      <c r="H83" s="42"/>
      <c r="I83" s="18" t="s">
        <v>130</v>
      </c>
      <c r="J83" s="25"/>
      <c r="K83" s="336">
        <f>K82+J80</f>
        <v>1700.4165</v>
      </c>
      <c r="P83"/>
      <c r="Q83"/>
    </row>
    <row r="84" spans="1:17">
      <c r="A84" s="17"/>
      <c r="B84" s="16"/>
      <c r="C84" s="188"/>
      <c r="D84" s="17"/>
      <c r="E84" s="17"/>
      <c r="F84" s="205"/>
      <c r="G84" s="43"/>
      <c r="H84" s="17"/>
      <c r="I84" s="17"/>
      <c r="J84" s="17"/>
      <c r="P84"/>
      <c r="Q84"/>
    </row>
    <row r="85" spans="1:17" ht="19">
      <c r="A85" s="118" t="s">
        <v>100</v>
      </c>
      <c r="B85" s="491" t="s">
        <v>99</v>
      </c>
      <c r="C85" s="491"/>
      <c r="D85" s="17"/>
      <c r="E85" s="17"/>
      <c r="F85" s="68"/>
      <c r="G85" s="18"/>
      <c r="H85" s="17"/>
      <c r="I85" s="17"/>
      <c r="J85" s="17"/>
      <c r="P85"/>
      <c r="Q85"/>
    </row>
    <row r="86" spans="1:17" ht="409" customHeight="1">
      <c r="A86" s="17"/>
      <c r="B86" s="16"/>
      <c r="C86" s="228"/>
      <c r="D86" s="17"/>
      <c r="E86" s="17"/>
      <c r="F86" s="18"/>
      <c r="G86" s="18"/>
      <c r="H86" s="17"/>
      <c r="I86" s="17"/>
      <c r="J86" s="17"/>
      <c r="K86" s="18"/>
      <c r="P86"/>
      <c r="Q86"/>
    </row>
    <row r="87" spans="1:17">
      <c r="A87" s="17"/>
      <c r="B87" s="16"/>
      <c r="C87" s="188"/>
      <c r="D87" s="17"/>
      <c r="E87" s="17"/>
      <c r="F87" s="18"/>
      <c r="G87" s="18"/>
      <c r="H87" s="17"/>
      <c r="I87" s="17"/>
      <c r="J87" s="17"/>
      <c r="P87"/>
      <c r="Q87"/>
    </row>
    <row r="88" spans="1:17">
      <c r="A88" s="17"/>
      <c r="B88" s="16"/>
      <c r="C88" s="188"/>
      <c r="D88" s="17"/>
      <c r="E88" s="17"/>
      <c r="F88" s="18"/>
      <c r="G88" s="18"/>
      <c r="H88" s="17"/>
      <c r="I88" s="17"/>
      <c r="J88" s="17"/>
      <c r="P88"/>
      <c r="Q88"/>
    </row>
    <row r="89" spans="1:17">
      <c r="F89" s="18"/>
      <c r="G89" s="18"/>
      <c r="N89"/>
      <c r="O89"/>
      <c r="P89"/>
      <c r="Q89"/>
    </row>
    <row r="90" spans="1:17">
      <c r="F90" s="206"/>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N100"/>
      <c r="O100"/>
      <c r="P100"/>
      <c r="Q100"/>
    </row>
    <row r="101" spans="2:17">
      <c r="B101"/>
      <c r="C101"/>
      <c r="N101"/>
      <c r="O101"/>
      <c r="P101"/>
      <c r="Q101"/>
    </row>
    <row r="102" spans="2:17">
      <c r="B102"/>
      <c r="C102"/>
      <c r="N102"/>
      <c r="O102"/>
      <c r="P102"/>
      <c r="Q102"/>
    </row>
    <row r="103" spans="2:17">
      <c r="B103"/>
      <c r="C103"/>
      <c r="N103"/>
      <c r="O103"/>
      <c r="P103"/>
      <c r="Q103"/>
    </row>
    <row r="104" spans="2:17">
      <c r="B104"/>
      <c r="C104"/>
      <c r="N104"/>
      <c r="O104"/>
      <c r="P104"/>
      <c r="Q104"/>
    </row>
    <row r="105" spans="2:17">
      <c r="B105"/>
      <c r="C105"/>
      <c r="F105"/>
      <c r="G105"/>
      <c r="K105" s="235"/>
      <c r="N105"/>
      <c r="O105"/>
      <c r="P105"/>
      <c r="Q105"/>
    </row>
    <row r="106" spans="2:17">
      <c r="B106"/>
      <c r="C106"/>
      <c r="F106"/>
      <c r="G106"/>
      <c r="K106" s="235"/>
      <c r="N106"/>
      <c r="O106"/>
      <c r="P106"/>
      <c r="Q106"/>
    </row>
    <row r="107" spans="2:17">
      <c r="B107"/>
      <c r="C107"/>
      <c r="F107"/>
      <c r="G107"/>
      <c r="K107" s="235"/>
      <c r="N107"/>
      <c r="O107"/>
      <c r="P107"/>
      <c r="Q107"/>
    </row>
    <row r="108" spans="2:17">
      <c r="B108"/>
      <c r="C108"/>
      <c r="F108"/>
      <c r="G108"/>
      <c r="K108" s="235"/>
      <c r="N108"/>
      <c r="O108"/>
      <c r="P108"/>
      <c r="Q108"/>
    </row>
    <row r="109" spans="2:17">
      <c r="B109"/>
      <c r="C109"/>
      <c r="F109"/>
      <c r="G109"/>
      <c r="K109" s="235"/>
      <c r="N109"/>
      <c r="O109"/>
      <c r="P109"/>
      <c r="Q109"/>
    </row>
  </sheetData>
  <sheetProtection password="A5F4" sheet="1" objects="1" scenarios="1" selectLockedCells="1"/>
  <mergeCells count="8">
    <mergeCell ref="B85:C85"/>
    <mergeCell ref="D8:J8"/>
    <mergeCell ref="B15:J15"/>
    <mergeCell ref="A18:A19"/>
    <mergeCell ref="B18:B19"/>
    <mergeCell ref="D18:E18"/>
    <mergeCell ref="H18:H19"/>
    <mergeCell ref="I18:I19"/>
  </mergeCells>
  <hyperlinks>
    <hyperlink ref="B85" location="sommaire!A1" display="RETOUR AU SOMMAIRE"/>
    <hyperlink ref="C85" location="sommaire!A1" display="sommaire!A1"/>
  </hyperlinks>
  <pageMargins left="0.75" right="0.75" top="1" bottom="1" header="0.5" footer="0.5"/>
  <ignoredErrors>
    <ignoredError sqref="K49 K82" emptyCellReference="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3"/>
  <sheetViews>
    <sheetView workbookViewId="0">
      <selection activeCell="D5" sqref="D5"/>
    </sheetView>
  </sheetViews>
  <sheetFormatPr baseColWidth="10" defaultRowHeight="15" x14ac:dyDescent="0"/>
  <cols>
    <col min="1" max="1" width="6.33203125" customWidth="1"/>
    <col min="2" max="2" width="30.1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2.6640625" style="407" customWidth="1"/>
    <col min="14" max="14" width="3.33203125" style="407" customWidth="1"/>
    <col min="15" max="17" width="10.83203125" style="44"/>
  </cols>
  <sheetData>
    <row r="1" spans="1:17" ht="19">
      <c r="A1" s="207" t="s">
        <v>761</v>
      </c>
      <c r="B1" s="120"/>
      <c r="C1" s="187"/>
      <c r="D1" s="121"/>
      <c r="E1" s="121"/>
      <c r="F1" s="122"/>
      <c r="G1" s="122"/>
      <c r="H1" s="122"/>
      <c r="I1" s="123" t="s">
        <v>101</v>
      </c>
      <c r="J1" s="266" t="s">
        <v>676</v>
      </c>
      <c r="O1"/>
      <c r="P1"/>
      <c r="Q1"/>
    </row>
    <row r="2" spans="1:17">
      <c r="A2" s="17"/>
      <c r="B2" s="16" t="s">
        <v>12</v>
      </c>
      <c r="C2" s="188"/>
      <c r="D2" s="17"/>
      <c r="E2" s="17"/>
      <c r="F2" s="18"/>
      <c r="G2" s="18"/>
      <c r="H2" s="17"/>
      <c r="I2" s="17"/>
      <c r="J2" s="17"/>
      <c r="O2"/>
      <c r="P2"/>
      <c r="Q2"/>
    </row>
    <row r="3" spans="1:17">
      <c r="A3" s="16" t="s">
        <v>19</v>
      </c>
      <c r="B3" s="16"/>
      <c r="C3" s="188"/>
      <c r="D3" s="15">
        <f>ROUND(F76,0)</f>
        <v>1999</v>
      </c>
      <c r="E3" s="17" t="s">
        <v>9</v>
      </c>
      <c r="F3" s="18"/>
      <c r="G3" s="18"/>
      <c r="H3" s="42"/>
      <c r="I3" s="42"/>
      <c r="J3" s="42"/>
      <c r="O3"/>
      <c r="P3"/>
      <c r="Q3"/>
    </row>
    <row r="4" spans="1:17" ht="12" customHeight="1">
      <c r="A4" s="24" t="s">
        <v>26</v>
      </c>
      <c r="B4" s="16"/>
      <c r="C4" s="188"/>
      <c r="D4" s="19"/>
      <c r="E4" s="17"/>
      <c r="F4" s="18"/>
      <c r="G4" s="18"/>
      <c r="H4" s="17"/>
      <c r="I4" s="17"/>
      <c r="J4" s="17"/>
      <c r="O4"/>
      <c r="P4"/>
      <c r="Q4"/>
    </row>
    <row r="5" spans="1:17">
      <c r="A5" s="16" t="s">
        <v>29</v>
      </c>
      <c r="B5" s="16"/>
      <c r="C5" s="189" t="s">
        <v>25</v>
      </c>
      <c r="D5" s="455" t="s">
        <v>10</v>
      </c>
      <c r="E5" s="17" t="str">
        <f>IF(D5="non","",IF(D5=1,d!B22,d!B23))</f>
        <v/>
      </c>
      <c r="F5" s="18"/>
      <c r="G5" s="18"/>
      <c r="H5" s="17"/>
      <c r="I5" s="17"/>
      <c r="J5" s="17"/>
      <c r="O5"/>
      <c r="P5"/>
      <c r="Q5"/>
    </row>
    <row r="6" spans="1:17">
      <c r="A6" s="16" t="s">
        <v>18</v>
      </c>
      <c r="B6" s="16"/>
      <c r="C6" s="188"/>
      <c r="D6" s="437">
        <v>0</v>
      </c>
      <c r="E6" s="17" t="s">
        <v>9</v>
      </c>
      <c r="F6" s="98"/>
      <c r="G6" s="414" t="s">
        <v>100</v>
      </c>
      <c r="H6" s="415" t="s">
        <v>33</v>
      </c>
      <c r="I6" s="17"/>
      <c r="J6" s="17"/>
      <c r="O6"/>
      <c r="P6"/>
      <c r="Q6"/>
    </row>
    <row r="7" spans="1:17">
      <c r="A7" s="21" t="s">
        <v>35</v>
      </c>
      <c r="B7" s="16"/>
      <c r="C7" s="189"/>
      <c r="D7" s="74">
        <f>jour_1!D7</f>
        <v>1700</v>
      </c>
      <c r="E7" s="17" t="s">
        <v>9</v>
      </c>
      <c r="F7" s="18"/>
      <c r="G7" s="416"/>
      <c r="H7" s="417" t="s">
        <v>816</v>
      </c>
      <c r="I7" s="17"/>
      <c r="J7" s="17"/>
      <c r="O7"/>
      <c r="P7"/>
      <c r="Q7"/>
    </row>
    <row r="8" spans="1:17" ht="45" customHeight="1">
      <c r="A8" s="17"/>
      <c r="B8" s="16"/>
      <c r="C8" s="188"/>
      <c r="D8" s="480" t="str">
        <f>IF(D5="non","",d!A24)</f>
        <v/>
      </c>
      <c r="E8" s="480"/>
      <c r="F8" s="480"/>
      <c r="G8" s="480"/>
      <c r="H8" s="480"/>
      <c r="I8" s="480"/>
      <c r="J8" s="480"/>
      <c r="K8" s="334"/>
      <c r="L8" s="243"/>
      <c r="O8"/>
      <c r="P8"/>
      <c r="Q8"/>
    </row>
    <row r="9" spans="1:17" ht="6" customHeight="1">
      <c r="A9" s="17"/>
      <c r="B9" s="16"/>
      <c r="C9" s="188"/>
      <c r="D9" s="18"/>
      <c r="E9" s="17"/>
      <c r="F9" s="18"/>
      <c r="G9" s="18"/>
      <c r="H9" s="17"/>
      <c r="I9" s="17"/>
      <c r="J9" s="17"/>
      <c r="O9"/>
      <c r="P9"/>
      <c r="Q9"/>
    </row>
    <row r="10" spans="1:17">
      <c r="A10" s="17"/>
      <c r="B10" s="26" t="s">
        <v>14</v>
      </c>
      <c r="C10" s="190"/>
      <c r="D10" s="28"/>
      <c r="E10" s="28"/>
      <c r="F10" s="133"/>
      <c r="G10" s="133"/>
      <c r="H10" s="28"/>
      <c r="I10" s="28"/>
      <c r="J10" s="29"/>
      <c r="O10"/>
      <c r="P10"/>
      <c r="Q10"/>
    </row>
    <row r="11" spans="1:17">
      <c r="A11" s="17"/>
      <c r="B11" s="30" t="s">
        <v>15</v>
      </c>
      <c r="C11" s="191"/>
      <c r="D11" s="15">
        <f>D7+D6</f>
        <v>1700</v>
      </c>
      <c r="E11" s="32" t="s">
        <v>7</v>
      </c>
      <c r="F11" s="31"/>
      <c r="G11" s="31"/>
      <c r="H11" s="33"/>
      <c r="I11" s="33"/>
      <c r="J11" s="34"/>
      <c r="O11"/>
      <c r="P11"/>
      <c r="Q11"/>
    </row>
    <row r="12" spans="1:17">
      <c r="A12" s="17"/>
      <c r="B12" s="30" t="s">
        <v>16</v>
      </c>
      <c r="C12" s="191"/>
      <c r="D12" s="23">
        <f>ABS(M13)</f>
        <v>299</v>
      </c>
      <c r="E12" s="32" t="s">
        <v>7</v>
      </c>
      <c r="F12" s="32" t="str">
        <f>IF(M13&gt;0,d!A44,d!A45)</f>
        <v>de moins que les menus Pan Metron du jour</v>
      </c>
      <c r="G12" s="31"/>
      <c r="H12" s="33"/>
      <c r="I12" s="33"/>
      <c r="J12" s="34"/>
      <c r="O12"/>
      <c r="P12"/>
      <c r="Q12"/>
    </row>
    <row r="13" spans="1:17" ht="13" customHeight="1">
      <c r="A13" s="24"/>
      <c r="B13" s="35"/>
      <c r="C13" s="192"/>
      <c r="D13" s="37"/>
      <c r="E13" s="1"/>
      <c r="F13" s="38" t="str">
        <f>IF(D5="non","",d!A46)</f>
        <v/>
      </c>
      <c r="G13" s="39"/>
      <c r="H13" s="38"/>
      <c r="I13" s="38"/>
      <c r="J13" s="40"/>
      <c r="M13" s="408">
        <f>D3+E74-D11</f>
        <v>299</v>
      </c>
      <c r="O13"/>
      <c r="P13"/>
      <c r="Q13"/>
    </row>
    <row r="14" spans="1:17" ht="8" customHeight="1">
      <c r="A14" s="24"/>
      <c r="B14" s="41"/>
      <c r="C14" s="193"/>
      <c r="D14" s="19"/>
      <c r="E14" s="42"/>
      <c r="F14" s="43"/>
      <c r="G14" s="43"/>
      <c r="H14" s="42"/>
      <c r="I14" s="42"/>
      <c r="J14" s="42"/>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O15"/>
      <c r="P15"/>
      <c r="Q15"/>
    </row>
    <row r="16" spans="1:17" ht="12" customHeight="1">
      <c r="A16" s="17"/>
      <c r="B16" s="22"/>
      <c r="C16" s="194"/>
      <c r="D16" s="22"/>
      <c r="E16" s="22"/>
      <c r="F16" s="134"/>
      <c r="G16" s="134"/>
      <c r="H16" s="22"/>
      <c r="I16" s="22"/>
      <c r="J16" s="22"/>
      <c r="K16" s="22"/>
      <c r="L16" s="244"/>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17"/>
      <c r="D18" s="481" t="s">
        <v>7</v>
      </c>
      <c r="E18" s="482"/>
      <c r="F18" s="18"/>
      <c r="G18" s="43"/>
      <c r="H18" s="487" t="str">
        <f>A18</f>
        <v>g/cl</v>
      </c>
      <c r="I18" s="489" t="str">
        <f>B18</f>
        <v>Ingrédients</v>
      </c>
      <c r="J18" s="70" t="s">
        <v>7</v>
      </c>
      <c r="M18" s="411">
        <f>100-(D12/((D11+D12)/100))</f>
        <v>85.042521260630309</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243</v>
      </c>
      <c r="B21" s="16"/>
      <c r="C21" s="209"/>
      <c r="D21" s="17"/>
      <c r="E21" s="17"/>
      <c r="F21" s="18"/>
      <c r="G21" s="43"/>
      <c r="H21" s="17"/>
      <c r="I21" s="17"/>
      <c r="J21" s="17"/>
      <c r="L21" s="154"/>
      <c r="P21"/>
      <c r="Q21"/>
    </row>
    <row r="22" spans="1:17">
      <c r="A22" s="438">
        <v>60</v>
      </c>
      <c r="B22" s="2" t="s">
        <v>134</v>
      </c>
      <c r="C22" s="185" t="s">
        <v>676</v>
      </c>
      <c r="D22" s="51">
        <v>134</v>
      </c>
      <c r="E22" s="49">
        <f t="shared" ref="E22:E28" si="0">D22/100*A22</f>
        <v>80.400000000000006</v>
      </c>
      <c r="F22" s="18"/>
      <c r="G22" s="43"/>
      <c r="H22" s="55">
        <f t="shared" ref="H22:H28" si="1">IF(E22=0,A22,A22/E22*J22)</f>
        <v>51.025512756378191</v>
      </c>
      <c r="I22" s="2" t="str">
        <f t="shared" ref="I22:I28" si="2">B22</f>
        <v>œuf à la coque</v>
      </c>
      <c r="J22" s="49">
        <f>E22*$M$18%</f>
        <v>68.37418709354678</v>
      </c>
      <c r="M22" s="411"/>
      <c r="Q22"/>
    </row>
    <row r="23" spans="1:17">
      <c r="A23" s="438">
        <v>0.5</v>
      </c>
      <c r="B23" s="2" t="s">
        <v>109</v>
      </c>
      <c r="C23" s="197" t="s">
        <v>674</v>
      </c>
      <c r="D23" s="51">
        <v>0</v>
      </c>
      <c r="E23" s="49">
        <f t="shared" si="0"/>
        <v>0</v>
      </c>
      <c r="F23" s="18"/>
      <c r="G23" s="43"/>
      <c r="H23" s="55">
        <f t="shared" si="1"/>
        <v>0.5</v>
      </c>
      <c r="I23" s="2" t="str">
        <f t="shared" si="2"/>
        <v>sel</v>
      </c>
      <c r="J23" s="49">
        <f t="shared" ref="J23:J28" si="3">E23*$M$18%</f>
        <v>0</v>
      </c>
      <c r="Q23"/>
    </row>
    <row r="24" spans="1:17">
      <c r="A24" s="438">
        <v>40</v>
      </c>
      <c r="B24" s="2" t="s">
        <v>102</v>
      </c>
      <c r="C24" s="196" t="s">
        <v>673</v>
      </c>
      <c r="D24" s="51">
        <v>229</v>
      </c>
      <c r="E24" s="49">
        <f t="shared" si="0"/>
        <v>91.6</v>
      </c>
      <c r="F24" s="18"/>
      <c r="G24" s="43"/>
      <c r="H24" s="55">
        <f t="shared" si="1"/>
        <v>34.017008504252125</v>
      </c>
      <c r="I24" s="2" t="str">
        <f t="shared" si="2"/>
        <v>pain complet</v>
      </c>
      <c r="J24" s="49">
        <f t="shared" si="3"/>
        <v>77.898949474737364</v>
      </c>
      <c r="O24" s="45"/>
      <c r="Q24"/>
    </row>
    <row r="25" spans="1:17">
      <c r="A25" s="438">
        <v>125</v>
      </c>
      <c r="B25" s="2" t="s">
        <v>137</v>
      </c>
      <c r="C25" s="185" t="s">
        <v>676</v>
      </c>
      <c r="D25" s="51">
        <v>71</v>
      </c>
      <c r="E25" s="49">
        <f t="shared" si="0"/>
        <v>88.75</v>
      </c>
      <c r="F25" s="18"/>
      <c r="G25" s="43"/>
      <c r="H25" s="55">
        <f t="shared" si="1"/>
        <v>106.30315157578788</v>
      </c>
      <c r="I25" s="2" t="str">
        <f t="shared" si="2"/>
        <v>fromage blanc 20%</v>
      </c>
      <c r="J25" s="49">
        <f t="shared" si="3"/>
        <v>75.475237618809402</v>
      </c>
      <c r="O25" s="45"/>
      <c r="Q25"/>
    </row>
    <row r="26" spans="1:17">
      <c r="A26" s="438">
        <v>100</v>
      </c>
      <c r="B26" s="2" t="s">
        <v>136</v>
      </c>
      <c r="C26" s="199" t="s">
        <v>675</v>
      </c>
      <c r="D26" s="51">
        <v>67</v>
      </c>
      <c r="E26" s="49">
        <f t="shared" si="0"/>
        <v>67</v>
      </c>
      <c r="F26" s="18"/>
      <c r="G26" s="43"/>
      <c r="H26" s="55">
        <f t="shared" si="1"/>
        <v>85.042521260630323</v>
      </c>
      <c r="I26" s="2" t="str">
        <f t="shared" si="2"/>
        <v>salade de fruits frais</v>
      </c>
      <c r="J26" s="49">
        <f t="shared" si="3"/>
        <v>56.97848924462231</v>
      </c>
      <c r="O26" s="45"/>
      <c r="Q26"/>
    </row>
    <row r="27" spans="1:17">
      <c r="A27" s="438">
        <v>150</v>
      </c>
      <c r="B27" s="2" t="s">
        <v>135</v>
      </c>
      <c r="C27" s="203"/>
      <c r="D27" s="51">
        <v>0</v>
      </c>
      <c r="E27" s="49">
        <f t="shared" si="0"/>
        <v>0</v>
      </c>
      <c r="F27" s="18"/>
      <c r="G27" s="43"/>
      <c r="H27" s="55">
        <f t="shared" si="1"/>
        <v>150</v>
      </c>
      <c r="I27" s="2" t="str">
        <f t="shared" si="2"/>
        <v>thé</v>
      </c>
      <c r="J27" s="49">
        <f t="shared" si="3"/>
        <v>0</v>
      </c>
      <c r="O27" s="45"/>
      <c r="Q27"/>
    </row>
    <row r="28" spans="1:17">
      <c r="A28" s="438">
        <v>12</v>
      </c>
      <c r="B28" s="2" t="s">
        <v>2</v>
      </c>
      <c r="C28" s="197" t="s">
        <v>674</v>
      </c>
      <c r="D28" s="51">
        <v>400</v>
      </c>
      <c r="E28" s="49">
        <f t="shared" si="0"/>
        <v>48</v>
      </c>
      <c r="F28" s="18"/>
      <c r="G28" s="43"/>
      <c r="H28" s="55">
        <f t="shared" si="1"/>
        <v>10.205102551275637</v>
      </c>
      <c r="I28" s="2" t="str">
        <f t="shared" si="2"/>
        <v>sucre</v>
      </c>
      <c r="J28" s="49">
        <f t="shared" si="3"/>
        <v>40.820410205102547</v>
      </c>
      <c r="O28" s="45"/>
      <c r="Q28"/>
    </row>
    <row r="29" spans="1:17">
      <c r="A29" s="42"/>
      <c r="B29" s="131"/>
      <c r="C29" s="200"/>
      <c r="E29" s="130" t="s">
        <v>6</v>
      </c>
      <c r="F29" s="135">
        <f>SUM(E22:E28)</f>
        <v>375.75</v>
      </c>
      <c r="G29" s="128"/>
      <c r="H29" s="42"/>
      <c r="I29" s="131"/>
      <c r="J29" s="130" t="s">
        <v>6</v>
      </c>
      <c r="K29" s="336">
        <f>SUM(J22:J28)</f>
        <v>319.54727363681843</v>
      </c>
      <c r="O29" s="45"/>
      <c r="Q29"/>
    </row>
    <row r="30" spans="1:17">
      <c r="A30" s="216" t="s">
        <v>225</v>
      </c>
      <c r="B30" s="16"/>
      <c r="C30" s="209"/>
      <c r="D30" s="17"/>
      <c r="E30" s="17"/>
      <c r="F30" s="18"/>
      <c r="G30" s="43"/>
      <c r="H30" s="17"/>
      <c r="I30" s="17"/>
      <c r="J30" s="17"/>
      <c r="L30" s="154"/>
      <c r="P30"/>
      <c r="Q30"/>
    </row>
    <row r="31" spans="1:17">
      <c r="A31" s="66" t="s">
        <v>587</v>
      </c>
      <c r="B31" s="257"/>
      <c r="C31" s="257"/>
      <c r="D31" s="257"/>
      <c r="E31" s="257"/>
      <c r="F31" s="257"/>
      <c r="G31" s="257"/>
      <c r="H31" s="257"/>
      <c r="I31" s="257"/>
      <c r="J31" s="258"/>
      <c r="L31" s="154"/>
      <c r="O31" s="45"/>
      <c r="Q31"/>
    </row>
    <row r="32" spans="1:17">
      <c r="A32" s="439">
        <v>125</v>
      </c>
      <c r="B32" s="2" t="s">
        <v>596</v>
      </c>
      <c r="C32" s="249" t="s">
        <v>677</v>
      </c>
      <c r="D32" s="253">
        <v>324</v>
      </c>
      <c r="E32" s="254">
        <f t="shared" ref="E32:E43" si="4">D32/100*A32</f>
        <v>405</v>
      </c>
      <c r="F32" s="18"/>
      <c r="G32" s="43"/>
      <c r="H32" s="255">
        <f t="shared" ref="H32:H43" si="5">IF(E32=0,A32,A32/E32*J32)</f>
        <v>106.30315157578789</v>
      </c>
      <c r="I32" s="251" t="str">
        <f t="shared" ref="I32:I43" si="6">B32</f>
        <v>pâte à pizza</v>
      </c>
      <c r="J32" s="254">
        <f t="shared" ref="J32:J43" si="7">E32*$M$18%</f>
        <v>344.42221110555278</v>
      </c>
      <c r="O32" s="45"/>
      <c r="Q32"/>
    </row>
    <row r="33" spans="1:17">
      <c r="A33" s="439">
        <v>200</v>
      </c>
      <c r="B33" s="2" t="s">
        <v>399</v>
      </c>
      <c r="C33" s="273" t="s">
        <v>676</v>
      </c>
      <c r="D33" s="253">
        <v>19</v>
      </c>
      <c r="E33" s="49">
        <f t="shared" si="4"/>
        <v>38</v>
      </c>
      <c r="F33" s="68"/>
      <c r="G33" s="128"/>
      <c r="H33" s="55">
        <f t="shared" si="5"/>
        <v>170.08504252126062</v>
      </c>
      <c r="I33" s="2" t="str">
        <f t="shared" si="6"/>
        <v>courgettes</v>
      </c>
      <c r="J33" s="49">
        <f t="shared" si="7"/>
        <v>32.316158079039518</v>
      </c>
      <c r="O33" s="45"/>
      <c r="Q33"/>
    </row>
    <row r="34" spans="1:17">
      <c r="A34" s="439">
        <v>12</v>
      </c>
      <c r="B34" s="2" t="s">
        <v>284</v>
      </c>
      <c r="C34" s="197" t="s">
        <v>674</v>
      </c>
      <c r="D34" s="253">
        <v>370</v>
      </c>
      <c r="E34" s="49">
        <f t="shared" si="4"/>
        <v>44.400000000000006</v>
      </c>
      <c r="F34" s="68"/>
      <c r="G34" s="128"/>
      <c r="H34" s="55">
        <f t="shared" si="5"/>
        <v>10.205102551275637</v>
      </c>
      <c r="I34" s="2" t="str">
        <f t="shared" si="6"/>
        <v>chapelure</v>
      </c>
      <c r="J34" s="49">
        <f t="shared" si="7"/>
        <v>37.758879439719863</v>
      </c>
      <c r="O34" s="45"/>
      <c r="Q34"/>
    </row>
    <row r="35" spans="1:17">
      <c r="A35" s="439">
        <v>12</v>
      </c>
      <c r="B35" s="2" t="s">
        <v>495</v>
      </c>
      <c r="C35" s="273" t="s">
        <v>676</v>
      </c>
      <c r="D35" s="253">
        <v>28</v>
      </c>
      <c r="E35" s="49">
        <f t="shared" si="4"/>
        <v>3.3600000000000003</v>
      </c>
      <c r="F35" s="68"/>
      <c r="G35" s="128"/>
      <c r="H35" s="55">
        <f t="shared" si="5"/>
        <v>10.205102551275639</v>
      </c>
      <c r="I35" s="2" t="str">
        <f t="shared" si="6"/>
        <v xml:space="preserve">persil </v>
      </c>
      <c r="J35" s="49">
        <f t="shared" si="7"/>
        <v>2.8574287143571788</v>
      </c>
      <c r="O35" s="45"/>
      <c r="Q35"/>
    </row>
    <row r="36" spans="1:17">
      <c r="A36" s="439">
        <v>12.5</v>
      </c>
      <c r="B36" s="2" t="s">
        <v>597</v>
      </c>
      <c r="C36" s="199" t="s">
        <v>675</v>
      </c>
      <c r="D36" s="253">
        <v>105</v>
      </c>
      <c r="E36" s="49">
        <f t="shared" si="4"/>
        <v>13.125</v>
      </c>
      <c r="F36" s="68"/>
      <c r="G36" s="128"/>
      <c r="H36" s="55">
        <f t="shared" si="5"/>
        <v>10.630315157578787</v>
      </c>
      <c r="I36" s="2" t="str">
        <f t="shared" si="6"/>
        <v>concentré tomate</v>
      </c>
      <c r="J36" s="49">
        <f t="shared" si="7"/>
        <v>11.161830915457728</v>
      </c>
      <c r="O36" s="45"/>
      <c r="Q36"/>
    </row>
    <row r="37" spans="1:17">
      <c r="A37" s="439">
        <v>6</v>
      </c>
      <c r="B37" s="2" t="s">
        <v>598</v>
      </c>
      <c r="C37" s="197" t="s">
        <v>674</v>
      </c>
      <c r="D37" s="253">
        <v>899</v>
      </c>
      <c r="E37" s="49">
        <f t="shared" si="4"/>
        <v>53.94</v>
      </c>
      <c r="F37" s="68"/>
      <c r="G37" s="128"/>
      <c r="H37" s="55">
        <f t="shared" si="5"/>
        <v>5.1025512756378184</v>
      </c>
      <c r="I37" s="2" t="str">
        <f t="shared" si="6"/>
        <v xml:space="preserve">’huile d'olive </v>
      </c>
      <c r="J37" s="49">
        <f t="shared" si="7"/>
        <v>45.871935967983987</v>
      </c>
      <c r="O37" s="45"/>
      <c r="Q37"/>
    </row>
    <row r="38" spans="1:17">
      <c r="A38" s="439">
        <f>150/4</f>
        <v>37.5</v>
      </c>
      <c r="B38" s="2" t="s">
        <v>789</v>
      </c>
      <c r="C38" s="197" t="s">
        <v>674</v>
      </c>
      <c r="D38" s="253">
        <v>400</v>
      </c>
      <c r="E38" s="49">
        <f t="shared" si="4"/>
        <v>150</v>
      </c>
      <c r="F38" s="68"/>
      <c r="G38" s="128"/>
      <c r="H38" s="55">
        <f t="shared" si="5"/>
        <v>31.890945472736366</v>
      </c>
      <c r="I38" s="2" t="str">
        <f t="shared" si="6"/>
        <v>lard</v>
      </c>
      <c r="J38" s="49">
        <f t="shared" si="7"/>
        <v>127.56378189094546</v>
      </c>
      <c r="O38" s="45"/>
      <c r="Q38"/>
    </row>
    <row r="39" spans="1:17">
      <c r="A39" s="439">
        <v>15</v>
      </c>
      <c r="B39" s="2" t="s">
        <v>349</v>
      </c>
      <c r="C39" s="249" t="s">
        <v>677</v>
      </c>
      <c r="D39" s="253">
        <v>391</v>
      </c>
      <c r="E39" s="49">
        <f t="shared" si="4"/>
        <v>58.650000000000006</v>
      </c>
      <c r="F39" s="68"/>
      <c r="G39" s="128"/>
      <c r="H39" s="55">
        <f t="shared" si="5"/>
        <v>12.756378189094546</v>
      </c>
      <c r="I39" s="2" t="str">
        <f t="shared" si="6"/>
        <v>parmesan râpé</v>
      </c>
      <c r="J39" s="49">
        <f t="shared" si="7"/>
        <v>49.877438719359681</v>
      </c>
      <c r="O39" s="45"/>
      <c r="Q39"/>
    </row>
    <row r="40" spans="1:17">
      <c r="A40" s="439">
        <v>100</v>
      </c>
      <c r="B40" s="2" t="s">
        <v>599</v>
      </c>
      <c r="C40" s="273" t="s">
        <v>676</v>
      </c>
      <c r="D40" s="253">
        <v>19</v>
      </c>
      <c r="E40" s="49">
        <f t="shared" si="4"/>
        <v>19</v>
      </c>
      <c r="F40" s="68"/>
      <c r="G40" s="128"/>
      <c r="H40" s="55">
        <f t="shared" si="5"/>
        <v>85.042521260630309</v>
      </c>
      <c r="I40" s="2" t="str">
        <f>B40</f>
        <v xml:space="preserve">tomates </v>
      </c>
      <c r="J40" s="49">
        <f>E40*$M$18%</f>
        <v>16.158079039519759</v>
      </c>
      <c r="O40" s="45"/>
      <c r="P40"/>
      <c r="Q40"/>
    </row>
    <row r="41" spans="1:17">
      <c r="A41" s="439">
        <v>12</v>
      </c>
      <c r="B41" s="2" t="s">
        <v>162</v>
      </c>
      <c r="C41" s="197" t="s">
        <v>674</v>
      </c>
      <c r="D41" s="253">
        <v>446</v>
      </c>
      <c r="E41" s="49">
        <f t="shared" si="4"/>
        <v>53.519999999999996</v>
      </c>
      <c r="F41" s="68"/>
      <c r="G41" s="128"/>
      <c r="H41" s="55">
        <f t="shared" si="5"/>
        <v>10.205102551275637</v>
      </c>
      <c r="I41" s="2" t="str">
        <f t="shared" si="6"/>
        <v>sauce française</v>
      </c>
      <c r="J41" s="49">
        <f t="shared" si="7"/>
        <v>45.514757378689339</v>
      </c>
      <c r="O41" s="45"/>
      <c r="Q41"/>
    </row>
    <row r="42" spans="1:17">
      <c r="A42" s="439">
        <v>0.5</v>
      </c>
      <c r="B42" s="2" t="s">
        <v>109</v>
      </c>
      <c r="C42" s="197" t="s">
        <v>674</v>
      </c>
      <c r="D42" s="253">
        <v>0</v>
      </c>
      <c r="E42" s="49">
        <f t="shared" si="4"/>
        <v>0</v>
      </c>
      <c r="F42" s="68"/>
      <c r="G42" s="128"/>
      <c r="H42" s="55">
        <f t="shared" si="5"/>
        <v>0.5</v>
      </c>
      <c r="I42" s="2" t="str">
        <f t="shared" si="6"/>
        <v>sel</v>
      </c>
      <c r="J42" s="49">
        <f t="shared" si="7"/>
        <v>0</v>
      </c>
      <c r="O42" s="45"/>
      <c r="Q42"/>
    </row>
    <row r="43" spans="1:17">
      <c r="A43" s="439">
        <v>0.25</v>
      </c>
      <c r="B43" s="107" t="s">
        <v>116</v>
      </c>
      <c r="C43" s="183" t="s">
        <v>675</v>
      </c>
      <c r="D43" s="253">
        <v>222</v>
      </c>
      <c r="E43" s="49">
        <f t="shared" si="4"/>
        <v>0.55500000000000005</v>
      </c>
      <c r="F43" s="68"/>
      <c r="G43" s="128"/>
      <c r="H43" s="55">
        <f t="shared" si="5"/>
        <v>0.21260630315157575</v>
      </c>
      <c r="I43" s="2" t="str">
        <f t="shared" si="6"/>
        <v>poivre</v>
      </c>
      <c r="J43" s="49">
        <f t="shared" si="7"/>
        <v>0.47198599299649824</v>
      </c>
      <c r="O43" s="45"/>
      <c r="Q43"/>
    </row>
    <row r="44" spans="1:17">
      <c r="A44" s="42"/>
      <c r="B44" s="131"/>
      <c r="C44" s="200"/>
      <c r="E44" s="130" t="s">
        <v>6</v>
      </c>
      <c r="F44" s="135">
        <f>SUM(E32:E43)</f>
        <v>839.55</v>
      </c>
      <c r="G44" s="128"/>
      <c r="H44" s="42"/>
      <c r="I44" s="131"/>
      <c r="J44" s="130" t="s">
        <v>6</v>
      </c>
      <c r="K44" s="336">
        <f>SUM(J32:J43)</f>
        <v>713.97448724362175</v>
      </c>
      <c r="O44" s="45"/>
      <c r="Q44"/>
    </row>
    <row r="45" spans="1:17" ht="6" customHeight="1">
      <c r="A45" s="17"/>
      <c r="B45" s="17"/>
      <c r="C45" s="188"/>
      <c r="D45" s="68"/>
      <c r="E45" s="17"/>
      <c r="F45" s="18"/>
      <c r="G45" s="43"/>
      <c r="H45" s="17"/>
      <c r="I45" s="17"/>
      <c r="J45" s="17"/>
      <c r="O45" s="45"/>
      <c r="P45"/>
      <c r="Q45"/>
    </row>
    <row r="46" spans="1:17">
      <c r="A46" s="216" t="s">
        <v>228</v>
      </c>
      <c r="B46" s="16"/>
      <c r="C46" s="209"/>
      <c r="D46" s="17"/>
      <c r="E46" s="17"/>
      <c r="F46" s="18"/>
      <c r="G46" s="43"/>
      <c r="H46" s="17"/>
      <c r="I46" s="17"/>
      <c r="J46" s="17"/>
      <c r="P46"/>
      <c r="Q46"/>
    </row>
    <row r="47" spans="1:17">
      <c r="A47" s="438">
        <v>125</v>
      </c>
      <c r="B47" s="2" t="s">
        <v>123</v>
      </c>
      <c r="C47" s="199" t="s">
        <v>675</v>
      </c>
      <c r="D47" s="51">
        <v>87</v>
      </c>
      <c r="E47" s="49">
        <f>D47/100*A47</f>
        <v>108.75</v>
      </c>
      <c r="F47" s="18"/>
      <c r="G47" s="43"/>
      <c r="H47" s="55">
        <f>IF(E47=0,A47,A47/E47*J47)</f>
        <v>106.30315157578788</v>
      </c>
      <c r="I47" s="2" t="str">
        <f>B47</f>
        <v>yogourt aux fruits</v>
      </c>
      <c r="J47" s="49">
        <f>E47*$M$18%</f>
        <v>92.483741870935461</v>
      </c>
    </row>
    <row r="48" spans="1:17">
      <c r="A48" s="42"/>
      <c r="B48" s="157"/>
      <c r="C48" s="272"/>
      <c r="E48" s="130" t="s">
        <v>6</v>
      </c>
      <c r="F48" s="135">
        <f>SUM(E47:E47)</f>
        <v>108.75</v>
      </c>
      <c r="G48" s="140"/>
      <c r="H48" s="42"/>
      <c r="I48" s="131"/>
      <c r="J48" s="130" t="s">
        <v>6</v>
      </c>
      <c r="K48" s="336">
        <f>SUM(J47:J47)</f>
        <v>92.483741870935461</v>
      </c>
      <c r="O48" s="45"/>
      <c r="Q48"/>
    </row>
    <row r="49" spans="1:17">
      <c r="A49" s="216" t="s">
        <v>226</v>
      </c>
      <c r="B49" s="16"/>
      <c r="C49" s="209"/>
      <c r="D49" s="17"/>
      <c r="E49" s="17"/>
      <c r="F49" s="18"/>
      <c r="G49" s="43"/>
      <c r="H49" s="17"/>
      <c r="I49" s="17"/>
      <c r="J49" s="17"/>
      <c r="P49"/>
      <c r="Q49"/>
    </row>
    <row r="50" spans="1:17">
      <c r="A50" s="66" t="s">
        <v>557</v>
      </c>
      <c r="B50" s="257"/>
      <c r="C50" s="257"/>
      <c r="D50" s="257"/>
      <c r="E50" s="257"/>
      <c r="F50" s="257"/>
      <c r="G50" s="257"/>
      <c r="H50" s="257"/>
      <c r="I50" s="257"/>
      <c r="J50" s="258"/>
      <c r="L50" s="154"/>
      <c r="O50" s="45"/>
      <c r="Q50"/>
    </row>
    <row r="51" spans="1:17">
      <c r="A51" s="439">
        <f>700/4</f>
        <v>175</v>
      </c>
      <c r="B51" s="2" t="s">
        <v>591</v>
      </c>
      <c r="C51" s="273" t="s">
        <v>676</v>
      </c>
      <c r="D51" s="253">
        <v>133</v>
      </c>
      <c r="E51" s="49">
        <f t="shared" ref="E51:E65" si="8">D51/100*A51</f>
        <v>232.75</v>
      </c>
      <c r="F51" s="68"/>
      <c r="G51" s="128"/>
      <c r="H51" s="55">
        <f t="shared" ref="H51:H65" si="9">IF(E51=0,A51,A51/E51*J51)</f>
        <v>148.82441220610303</v>
      </c>
      <c r="I51" s="2" t="str">
        <f t="shared" ref="I51:I65" si="10">B51</f>
        <v xml:space="preserve"> lapin </v>
      </c>
      <c r="J51" s="49">
        <f t="shared" ref="J51:J74" si="11">E51*$M$18%</f>
        <v>197.93646823411706</v>
      </c>
      <c r="O51" s="45"/>
      <c r="P51"/>
      <c r="Q51"/>
    </row>
    <row r="52" spans="1:17">
      <c r="A52" s="439">
        <v>7.5</v>
      </c>
      <c r="B52" s="2" t="s">
        <v>554</v>
      </c>
      <c r="C52" s="197" t="s">
        <v>674</v>
      </c>
      <c r="D52" s="253">
        <v>899</v>
      </c>
      <c r="E52" s="49">
        <f t="shared" si="8"/>
        <v>67.424999999999997</v>
      </c>
      <c r="F52" s="68"/>
      <c r="G52" s="128"/>
      <c r="H52" s="55">
        <f t="shared" si="9"/>
        <v>6.3781890945472739</v>
      </c>
      <c r="I52" s="2" t="str">
        <f t="shared" si="10"/>
        <v xml:space="preserve">huile d’olive </v>
      </c>
      <c r="J52" s="49">
        <f t="shared" si="11"/>
        <v>57.339919959979987</v>
      </c>
      <c r="O52" s="45"/>
      <c r="P52"/>
      <c r="Q52"/>
    </row>
    <row r="53" spans="1:17">
      <c r="A53" s="439">
        <v>25</v>
      </c>
      <c r="B53" s="298" t="s">
        <v>592</v>
      </c>
      <c r="C53" s="183" t="s">
        <v>675</v>
      </c>
      <c r="D53" s="253">
        <v>18</v>
      </c>
      <c r="E53" s="49">
        <f t="shared" si="8"/>
        <v>4.5</v>
      </c>
      <c r="F53" s="68"/>
      <c r="G53" s="128"/>
      <c r="H53" s="55">
        <f t="shared" si="9"/>
        <v>21.260630315157577</v>
      </c>
      <c r="I53" s="2" t="str">
        <f t="shared" si="10"/>
        <v xml:space="preserve">oignons blancs de conserve </v>
      </c>
      <c r="J53" s="49">
        <f t="shared" si="11"/>
        <v>3.8269134567283638</v>
      </c>
      <c r="O53" s="45"/>
      <c r="P53"/>
      <c r="Q53"/>
    </row>
    <row r="54" spans="1:17">
      <c r="A54" s="439">
        <v>25</v>
      </c>
      <c r="B54" s="2" t="s">
        <v>593</v>
      </c>
      <c r="C54" s="273" t="s">
        <v>676</v>
      </c>
      <c r="D54" s="253">
        <v>25</v>
      </c>
      <c r="E54" s="49">
        <f t="shared" si="8"/>
        <v>6.25</v>
      </c>
      <c r="F54" s="68"/>
      <c r="G54" s="128"/>
      <c r="H54" s="55">
        <f t="shared" si="9"/>
        <v>21.260630315157577</v>
      </c>
      <c r="I54" s="2" t="str">
        <f t="shared" si="10"/>
        <v xml:space="preserve">champignons de Paris </v>
      </c>
      <c r="J54" s="49">
        <f t="shared" si="11"/>
        <v>5.3151575787893943</v>
      </c>
      <c r="L54" s="154"/>
      <c r="O54" s="45"/>
      <c r="P54"/>
      <c r="Q54"/>
    </row>
    <row r="55" spans="1:17">
      <c r="A55" s="439">
        <v>7</v>
      </c>
      <c r="B55" s="2" t="s">
        <v>151</v>
      </c>
      <c r="C55" s="273" t="s">
        <v>676</v>
      </c>
      <c r="D55" s="253">
        <v>10</v>
      </c>
      <c r="E55" s="49">
        <f t="shared" si="8"/>
        <v>0.70000000000000007</v>
      </c>
      <c r="F55" s="68"/>
      <c r="G55" s="128"/>
      <c r="H55" s="55">
        <f t="shared" si="9"/>
        <v>5.9529764882441221</v>
      </c>
      <c r="I55" s="2" t="str">
        <f t="shared" si="10"/>
        <v>jus de citron vert</v>
      </c>
      <c r="J55" s="49">
        <f t="shared" si="11"/>
        <v>0.59529764882441227</v>
      </c>
      <c r="L55" s="154"/>
      <c r="O55" s="45"/>
      <c r="P55"/>
      <c r="Q55"/>
    </row>
    <row r="56" spans="1:17">
      <c r="A56" s="439"/>
      <c r="B56" s="2" t="s">
        <v>317</v>
      </c>
      <c r="C56" s="276"/>
      <c r="D56" s="253"/>
      <c r="E56" s="49">
        <f t="shared" si="8"/>
        <v>0</v>
      </c>
      <c r="F56" s="68"/>
      <c r="G56" s="128"/>
      <c r="H56" s="55">
        <f t="shared" si="9"/>
        <v>0</v>
      </c>
      <c r="I56" s="2" t="str">
        <f t="shared" si="10"/>
        <v>vin blanc</v>
      </c>
      <c r="J56" s="49">
        <f t="shared" si="11"/>
        <v>0</v>
      </c>
      <c r="O56" s="45"/>
      <c r="P56"/>
      <c r="Q56"/>
    </row>
    <row r="57" spans="1:17">
      <c r="A57" s="439">
        <v>50</v>
      </c>
      <c r="B57" s="2" t="s">
        <v>558</v>
      </c>
      <c r="C57" s="273" t="s">
        <v>676</v>
      </c>
      <c r="D57" s="253">
        <v>9</v>
      </c>
      <c r="E57" s="49">
        <f t="shared" si="8"/>
        <v>4.5</v>
      </c>
      <c r="F57" s="68"/>
      <c r="G57" s="128"/>
      <c r="H57" s="55">
        <f t="shared" si="9"/>
        <v>42.521260630315155</v>
      </c>
      <c r="I57" s="2" t="str">
        <f t="shared" si="10"/>
        <v>bouillon de viande</v>
      </c>
      <c r="J57" s="49">
        <f t="shared" si="11"/>
        <v>3.8269134567283638</v>
      </c>
      <c r="O57" s="45"/>
      <c r="P57"/>
      <c r="Q57"/>
    </row>
    <row r="58" spans="1:17">
      <c r="A58" s="439">
        <v>6</v>
      </c>
      <c r="B58" s="2" t="s">
        <v>559</v>
      </c>
      <c r="C58" s="196" t="s">
        <v>673</v>
      </c>
      <c r="D58" s="253">
        <v>134</v>
      </c>
      <c r="E58" s="49">
        <f t="shared" si="8"/>
        <v>8.0400000000000009</v>
      </c>
      <c r="F58" s="68"/>
      <c r="G58" s="128"/>
      <c r="H58" s="55">
        <f t="shared" si="9"/>
        <v>5.1025512756378184</v>
      </c>
      <c r="I58" s="2" t="str">
        <f t="shared" si="10"/>
        <v>moutarde forte</v>
      </c>
      <c r="J58" s="49">
        <f t="shared" si="11"/>
        <v>6.8374187093546777</v>
      </c>
      <c r="O58" s="45"/>
      <c r="P58"/>
      <c r="Q58"/>
    </row>
    <row r="59" spans="1:17">
      <c r="A59" s="439">
        <v>6</v>
      </c>
      <c r="B59" s="2" t="s">
        <v>560</v>
      </c>
      <c r="C59" s="196" t="s">
        <v>673</v>
      </c>
      <c r="D59" s="253">
        <v>134</v>
      </c>
      <c r="E59" s="49">
        <f t="shared" si="8"/>
        <v>8.0400000000000009</v>
      </c>
      <c r="F59" s="68"/>
      <c r="G59" s="128"/>
      <c r="H59" s="55">
        <f t="shared" si="9"/>
        <v>5.1025512756378184</v>
      </c>
      <c r="I59" s="2" t="str">
        <f t="shared" si="10"/>
        <v>moutarde douce</v>
      </c>
      <c r="J59" s="49">
        <f t="shared" si="11"/>
        <v>6.8374187093546777</v>
      </c>
      <c r="O59" s="45"/>
      <c r="P59"/>
      <c r="Q59"/>
    </row>
    <row r="60" spans="1:17">
      <c r="A60" s="439">
        <v>1</v>
      </c>
      <c r="B60" s="2" t="s">
        <v>184</v>
      </c>
      <c r="C60" s="196" t="s">
        <v>673</v>
      </c>
      <c r="D60" s="253">
        <v>353</v>
      </c>
      <c r="E60" s="49">
        <f t="shared" si="8"/>
        <v>3.53</v>
      </c>
      <c r="F60" s="68"/>
      <c r="G60" s="128"/>
      <c r="H60" s="55">
        <f t="shared" si="9"/>
        <v>0.8504252126063031</v>
      </c>
      <c r="I60" s="2" t="str">
        <f t="shared" si="10"/>
        <v>maïzena</v>
      </c>
      <c r="J60" s="49">
        <f t="shared" si="11"/>
        <v>3.00200100050025</v>
      </c>
      <c r="O60" s="45"/>
      <c r="P60"/>
      <c r="Q60"/>
    </row>
    <row r="61" spans="1:17">
      <c r="A61" s="439">
        <v>125</v>
      </c>
      <c r="B61" s="2" t="s">
        <v>594</v>
      </c>
      <c r="C61" s="183" t="s">
        <v>675</v>
      </c>
      <c r="D61" s="253">
        <v>103</v>
      </c>
      <c r="E61" s="49">
        <f t="shared" si="8"/>
        <v>128.75</v>
      </c>
      <c r="F61" s="68"/>
      <c r="G61" s="128"/>
      <c r="H61" s="55">
        <f t="shared" si="9"/>
        <v>106.30315157578788</v>
      </c>
      <c r="I61" s="2" t="str">
        <f t="shared" si="10"/>
        <v>polenta nera</v>
      </c>
      <c r="J61" s="49">
        <f t="shared" si="11"/>
        <v>109.49224612306152</v>
      </c>
      <c r="O61" s="45"/>
      <c r="P61"/>
      <c r="Q61"/>
    </row>
    <row r="62" spans="1:17">
      <c r="A62" s="439">
        <v>75</v>
      </c>
      <c r="B62" s="2" t="s">
        <v>595</v>
      </c>
      <c r="C62" s="273" t="s">
        <v>676</v>
      </c>
      <c r="D62" s="253">
        <v>33</v>
      </c>
      <c r="E62" s="49">
        <f t="shared" si="8"/>
        <v>24.75</v>
      </c>
      <c r="F62" s="68"/>
      <c r="G62" s="128"/>
      <c r="H62" s="55">
        <f t="shared" si="9"/>
        <v>63.781890945472739</v>
      </c>
      <c r="I62" s="2" t="str">
        <f t="shared" si="10"/>
        <v>épinards cuits</v>
      </c>
      <c r="J62" s="49">
        <f t="shared" si="11"/>
        <v>21.048024012006003</v>
      </c>
      <c r="O62" s="45"/>
      <c r="P62"/>
      <c r="Q62"/>
    </row>
    <row r="63" spans="1:17">
      <c r="A63" s="439">
        <v>12.5</v>
      </c>
      <c r="B63" s="2" t="s">
        <v>271</v>
      </c>
      <c r="C63" s="273" t="s">
        <v>676</v>
      </c>
      <c r="D63" s="253">
        <v>29</v>
      </c>
      <c r="E63" s="49">
        <f t="shared" si="8"/>
        <v>3.6249999999999996</v>
      </c>
      <c r="F63" s="68"/>
      <c r="G63" s="128"/>
      <c r="H63" s="55">
        <f t="shared" si="9"/>
        <v>10.630315157578789</v>
      </c>
      <c r="I63" s="2" t="str">
        <f t="shared" si="10"/>
        <v>oignon</v>
      </c>
      <c r="J63" s="49">
        <f t="shared" si="11"/>
        <v>3.0827913956978485</v>
      </c>
      <c r="O63" s="45"/>
      <c r="P63"/>
      <c r="Q63"/>
    </row>
    <row r="64" spans="1:17">
      <c r="A64" s="439">
        <v>1</v>
      </c>
      <c r="B64" s="2" t="s">
        <v>109</v>
      </c>
      <c r="C64" s="197" t="s">
        <v>674</v>
      </c>
      <c r="D64" s="253">
        <v>0</v>
      </c>
      <c r="E64" s="49">
        <f t="shared" si="8"/>
        <v>0</v>
      </c>
      <c r="F64" s="68"/>
      <c r="G64" s="128"/>
      <c r="H64" s="55">
        <f t="shared" si="9"/>
        <v>1</v>
      </c>
      <c r="I64" s="2" t="str">
        <f t="shared" si="10"/>
        <v>sel</v>
      </c>
      <c r="J64" s="49">
        <f t="shared" si="11"/>
        <v>0</v>
      </c>
      <c r="O64" s="45"/>
      <c r="P64"/>
      <c r="Q64"/>
    </row>
    <row r="65" spans="1:17">
      <c r="A65" s="439">
        <v>0.5</v>
      </c>
      <c r="B65" s="107" t="s">
        <v>116</v>
      </c>
      <c r="C65" s="183" t="s">
        <v>675</v>
      </c>
      <c r="D65" s="51">
        <v>222</v>
      </c>
      <c r="E65" s="49">
        <f t="shared" si="8"/>
        <v>1.1100000000000001</v>
      </c>
      <c r="F65" s="68"/>
      <c r="G65" s="128"/>
      <c r="H65" s="55">
        <f t="shared" si="9"/>
        <v>0.4252126063031515</v>
      </c>
      <c r="I65" s="2" t="str">
        <f t="shared" si="10"/>
        <v>poivre</v>
      </c>
      <c r="J65" s="49">
        <f t="shared" si="11"/>
        <v>0.94397198599299648</v>
      </c>
      <c r="O65" s="45"/>
      <c r="P65"/>
      <c r="Q65"/>
    </row>
    <row r="66" spans="1:17">
      <c r="A66" s="42"/>
      <c r="B66" s="131"/>
      <c r="C66" s="201"/>
      <c r="E66" s="130" t="s">
        <v>6</v>
      </c>
      <c r="F66" s="138">
        <f>SUM(E51:E65)</f>
        <v>493.97</v>
      </c>
      <c r="G66" s="140"/>
      <c r="H66" s="42"/>
      <c r="I66" s="131"/>
      <c r="J66" s="130" t="s">
        <v>6</v>
      </c>
      <c r="K66" s="336">
        <f>SUM(J51:J65)</f>
        <v>420.08454227113555</v>
      </c>
      <c r="O66" s="45"/>
      <c r="Q66"/>
    </row>
    <row r="67" spans="1:17">
      <c r="A67" s="66" t="s">
        <v>588</v>
      </c>
      <c r="B67" s="257"/>
      <c r="C67" s="257"/>
      <c r="D67" s="257"/>
      <c r="E67" s="257"/>
      <c r="F67" s="259"/>
      <c r="G67" s="260"/>
      <c r="H67" s="257"/>
      <c r="I67" s="257"/>
      <c r="J67" s="258"/>
      <c r="L67" s="154"/>
      <c r="O67" s="45"/>
      <c r="Q67"/>
    </row>
    <row r="68" spans="1:17">
      <c r="A68" s="439">
        <v>60</v>
      </c>
      <c r="B68" s="2" t="s">
        <v>531</v>
      </c>
      <c r="C68" s="273" t="s">
        <v>676</v>
      </c>
      <c r="D68" s="253">
        <v>38</v>
      </c>
      <c r="E68" s="49">
        <f t="shared" ref="E68:E72" si="12">D68/100*A68</f>
        <v>22.8</v>
      </c>
      <c r="F68" s="68"/>
      <c r="G68" s="128"/>
      <c r="H68" s="55">
        <f>IF(E68=0,A68,A68/E68*J68)</f>
        <v>51.025512756378184</v>
      </c>
      <c r="I68" s="2" t="str">
        <f>B68</f>
        <v>framboises</v>
      </c>
      <c r="J68" s="49">
        <f t="shared" si="11"/>
        <v>19.389694847423712</v>
      </c>
      <c r="K68" s="241"/>
      <c r="L68" s="154"/>
      <c r="O68" s="45"/>
      <c r="P68"/>
      <c r="Q68"/>
    </row>
    <row r="69" spans="1:17">
      <c r="A69" s="439">
        <v>50</v>
      </c>
      <c r="B69" s="2" t="s">
        <v>600</v>
      </c>
      <c r="C69" s="183" t="s">
        <v>675</v>
      </c>
      <c r="D69" s="253">
        <v>114</v>
      </c>
      <c r="E69" s="49">
        <f t="shared" si="12"/>
        <v>56.999999999999993</v>
      </c>
      <c r="F69" s="68"/>
      <c r="G69" s="128"/>
      <c r="H69" s="55">
        <f t="shared" ref="H69:H72" si="13">IF(E69=0,A69,A69/E69*J69)</f>
        <v>42.521260630315155</v>
      </c>
      <c r="I69" s="2" t="str">
        <f t="shared" ref="I69:I72" si="14">B69</f>
        <v xml:space="preserve"> fromage blanc 40% </v>
      </c>
      <c r="J69" s="49">
        <f t="shared" si="11"/>
        <v>48.474237118559273</v>
      </c>
      <c r="K69" s="241"/>
      <c r="L69" s="154"/>
      <c r="O69" s="45"/>
      <c r="P69"/>
      <c r="Q69"/>
    </row>
    <row r="70" spans="1:17">
      <c r="A70" s="439">
        <v>12.5</v>
      </c>
      <c r="B70" s="2" t="s">
        <v>589</v>
      </c>
      <c r="C70" s="197" t="s">
        <v>674</v>
      </c>
      <c r="D70" s="253">
        <v>388</v>
      </c>
      <c r="E70" s="49">
        <f t="shared" si="12"/>
        <v>48.5</v>
      </c>
      <c r="F70" s="68"/>
      <c r="G70" s="128"/>
      <c r="H70" s="55">
        <f t="shared" si="13"/>
        <v>10.630315157578789</v>
      </c>
      <c r="I70" s="2" t="str">
        <f t="shared" si="14"/>
        <v xml:space="preserve">boudoirs </v>
      </c>
      <c r="J70" s="49">
        <f t="shared" si="11"/>
        <v>41.245622811405703</v>
      </c>
      <c r="K70" s="241"/>
      <c r="L70" s="154"/>
      <c r="O70" s="45"/>
      <c r="P70"/>
      <c r="Q70"/>
    </row>
    <row r="71" spans="1:17">
      <c r="A71" s="439">
        <v>10</v>
      </c>
      <c r="B71" s="2" t="s">
        <v>590</v>
      </c>
      <c r="C71" s="273" t="s">
        <v>676</v>
      </c>
      <c r="D71" s="253">
        <v>44</v>
      </c>
      <c r="E71" s="49">
        <f t="shared" si="12"/>
        <v>4.4000000000000004</v>
      </c>
      <c r="F71" s="68"/>
      <c r="G71" s="128"/>
      <c r="H71" s="55">
        <f t="shared" si="13"/>
        <v>8.5042521260630313</v>
      </c>
      <c r="I71" s="2" t="str">
        <f t="shared" si="14"/>
        <v>blanc d’œuf</v>
      </c>
      <c r="J71" s="49">
        <f t="shared" si="11"/>
        <v>3.741870935467734</v>
      </c>
      <c r="K71" s="241"/>
      <c r="L71" s="154"/>
      <c r="O71" s="45"/>
      <c r="P71"/>
      <c r="Q71"/>
    </row>
    <row r="72" spans="1:17">
      <c r="A72" s="439">
        <v>12</v>
      </c>
      <c r="B72" s="2" t="s">
        <v>2</v>
      </c>
      <c r="C72" s="197" t="s">
        <v>674</v>
      </c>
      <c r="D72" s="253">
        <v>400</v>
      </c>
      <c r="E72" s="49">
        <f t="shared" si="12"/>
        <v>48</v>
      </c>
      <c r="F72" s="68"/>
      <c r="G72" s="128"/>
      <c r="H72" s="55">
        <f t="shared" si="13"/>
        <v>10.205102551275637</v>
      </c>
      <c r="I72" s="2" t="str">
        <f t="shared" si="14"/>
        <v>sucre</v>
      </c>
      <c r="J72" s="49">
        <f t="shared" si="11"/>
        <v>40.820410205102547</v>
      </c>
      <c r="K72" s="241"/>
      <c r="L72" s="154"/>
      <c r="O72" s="45"/>
      <c r="P72"/>
      <c r="Q72"/>
    </row>
    <row r="73" spans="1:17">
      <c r="A73" s="42"/>
      <c r="B73" s="131"/>
      <c r="C73" s="201"/>
      <c r="E73" s="143" t="s">
        <v>6</v>
      </c>
      <c r="F73" s="175">
        <f>SUM(E68:E72)</f>
        <v>180.70000000000002</v>
      </c>
      <c r="G73" s="25"/>
      <c r="H73" s="42"/>
      <c r="I73" s="131"/>
      <c r="J73" s="143" t="s">
        <v>6</v>
      </c>
      <c r="K73" s="336">
        <f>SUM(J68:J72)</f>
        <v>153.67183591795896</v>
      </c>
      <c r="L73" s="154"/>
      <c r="O73" s="45"/>
      <c r="Q73"/>
    </row>
    <row r="74" spans="1:17">
      <c r="A74" s="54">
        <f>IF(D5="non",0,IF(D5="1 verre",125,250))</f>
        <v>0</v>
      </c>
      <c r="B74" s="2" t="str">
        <f>IF(A74=0,"","vin")</f>
        <v/>
      </c>
      <c r="C74" s="203"/>
      <c r="D74" s="51">
        <v>80</v>
      </c>
      <c r="E74" s="49">
        <f>D74/100*A74</f>
        <v>0</v>
      </c>
      <c r="G74" s="142"/>
      <c r="H74" s="55">
        <f>IF(E74=0,A74,A74/E74*J74)</f>
        <v>0</v>
      </c>
      <c r="I74" s="2" t="str">
        <f>B74</f>
        <v/>
      </c>
      <c r="J74" s="49">
        <f t="shared" si="11"/>
        <v>0</v>
      </c>
      <c r="K74" s="335"/>
      <c r="O74" s="45"/>
      <c r="P74"/>
      <c r="Q74"/>
    </row>
    <row r="75" spans="1:17" ht="6" customHeight="1">
      <c r="A75" s="17"/>
      <c r="B75" s="17"/>
      <c r="C75" s="188"/>
      <c r="D75" s="68"/>
      <c r="E75" s="17"/>
      <c r="F75" s="18"/>
      <c r="G75" s="204"/>
      <c r="H75" s="17"/>
      <c r="I75" s="17"/>
      <c r="J75" s="17"/>
      <c r="K75" s="335"/>
      <c r="P75"/>
      <c r="Q75"/>
    </row>
    <row r="76" spans="1:17">
      <c r="A76" s="17"/>
      <c r="B76" s="17"/>
      <c r="C76" s="188"/>
      <c r="D76" s="69" t="s">
        <v>129</v>
      </c>
      <c r="F76" s="138">
        <f>SUM(F22:F73)</f>
        <v>1998.72</v>
      </c>
      <c r="G76" s="204"/>
      <c r="H76" s="17"/>
      <c r="I76" s="69" t="s">
        <v>129</v>
      </c>
      <c r="K76" s="336">
        <f>SUM(K22:K73)</f>
        <v>1699.7618809404703</v>
      </c>
      <c r="P76"/>
      <c r="Q76"/>
    </row>
    <row r="77" spans="1:17">
      <c r="A77" s="17"/>
      <c r="B77" s="17"/>
      <c r="C77" s="188"/>
      <c r="D77" s="18" t="s">
        <v>130</v>
      </c>
      <c r="E77" s="25"/>
      <c r="F77" s="144">
        <f>F76+E74</f>
        <v>1998.72</v>
      </c>
      <c r="G77" s="43"/>
      <c r="H77" s="42"/>
      <c r="I77" s="18" t="s">
        <v>130</v>
      </c>
      <c r="J77" s="25"/>
      <c r="K77" s="336">
        <f>K76+J74</f>
        <v>1699.7618809404703</v>
      </c>
      <c r="P77"/>
      <c r="Q77"/>
    </row>
    <row r="78" spans="1:17">
      <c r="A78" s="17"/>
      <c r="B78" s="16"/>
      <c r="C78" s="188"/>
      <c r="D78" s="17"/>
      <c r="E78" s="17"/>
      <c r="F78" s="205"/>
      <c r="G78" s="43"/>
      <c r="H78" s="17"/>
      <c r="I78" s="17"/>
      <c r="J78" s="17"/>
      <c r="P78"/>
      <c r="Q78"/>
    </row>
    <row r="79" spans="1:17" ht="19">
      <c r="A79" s="118" t="s">
        <v>100</v>
      </c>
      <c r="B79" s="491" t="s">
        <v>99</v>
      </c>
      <c r="C79" s="491"/>
      <c r="D79" s="17"/>
      <c r="E79" s="17"/>
      <c r="F79" s="18"/>
      <c r="G79" s="18"/>
      <c r="H79" s="17"/>
      <c r="I79" s="17"/>
      <c r="J79" s="17"/>
      <c r="P79"/>
      <c r="Q79"/>
    </row>
    <row r="80" spans="1:17" ht="409" customHeight="1">
      <c r="A80" s="17"/>
      <c r="B80" s="16"/>
      <c r="C80" s="228"/>
      <c r="D80" s="17"/>
      <c r="E80" s="17"/>
      <c r="F80" s="18"/>
      <c r="G80" s="18"/>
      <c r="H80" s="17"/>
      <c r="I80" s="17"/>
      <c r="J80" s="17"/>
      <c r="K80" s="18"/>
      <c r="P80"/>
      <c r="Q80"/>
    </row>
    <row r="81" spans="1:17">
      <c r="A81" s="17"/>
      <c r="B81" s="16"/>
      <c r="C81" s="188"/>
      <c r="D81" s="17"/>
      <c r="E81" s="17"/>
      <c r="F81" s="18"/>
      <c r="G81" s="18"/>
      <c r="H81" s="17"/>
      <c r="I81" s="17"/>
      <c r="J81" s="17"/>
      <c r="P81"/>
      <c r="Q81"/>
    </row>
    <row r="82" spans="1:17">
      <c r="A82" s="17"/>
      <c r="B82" s="16"/>
      <c r="C82" s="188"/>
      <c r="D82" s="17"/>
      <c r="E82" s="17"/>
      <c r="F82" s="18"/>
      <c r="G82" s="18"/>
      <c r="H82" s="17"/>
      <c r="I82" s="17"/>
      <c r="J82" s="17"/>
      <c r="P82"/>
      <c r="Q82"/>
    </row>
    <row r="83" spans="1:17">
      <c r="F83" s="18"/>
      <c r="G83" s="18"/>
      <c r="O83"/>
      <c r="P83"/>
      <c r="Q83"/>
    </row>
    <row r="84" spans="1:17">
      <c r="F84" s="206"/>
      <c r="O84"/>
      <c r="P84"/>
      <c r="Q84"/>
    </row>
    <row r="85" spans="1:17">
      <c r="B85"/>
      <c r="C85"/>
      <c r="O85"/>
      <c r="P85"/>
      <c r="Q85"/>
    </row>
    <row r="86" spans="1:17">
      <c r="B86"/>
      <c r="C86"/>
      <c r="O86"/>
      <c r="P86"/>
      <c r="Q86"/>
    </row>
    <row r="87" spans="1:17">
      <c r="B87"/>
      <c r="C87"/>
      <c r="O87"/>
      <c r="P87"/>
      <c r="Q87"/>
    </row>
    <row r="88" spans="1:17">
      <c r="B88"/>
      <c r="C88"/>
      <c r="O88"/>
      <c r="P88"/>
      <c r="Q88"/>
    </row>
    <row r="89" spans="1:17">
      <c r="B89"/>
      <c r="C89"/>
      <c r="O89"/>
      <c r="P89"/>
      <c r="Q89"/>
    </row>
    <row r="90" spans="1:17">
      <c r="B90"/>
      <c r="C90"/>
      <c r="O90"/>
      <c r="P90"/>
      <c r="Q90"/>
    </row>
    <row r="91" spans="1:17">
      <c r="B91"/>
      <c r="C91"/>
      <c r="O91"/>
      <c r="P91"/>
      <c r="Q91"/>
    </row>
    <row r="92" spans="1:17">
      <c r="B92"/>
      <c r="C92"/>
      <c r="O92"/>
      <c r="P92"/>
      <c r="Q92"/>
    </row>
    <row r="93" spans="1:17">
      <c r="B93"/>
      <c r="C93"/>
      <c r="O93"/>
      <c r="P93"/>
      <c r="Q93"/>
    </row>
    <row r="94" spans="1:17">
      <c r="B94"/>
      <c r="C94"/>
      <c r="O94"/>
      <c r="P94"/>
      <c r="Q94"/>
    </row>
    <row r="95" spans="1:17">
      <c r="B95"/>
      <c r="C95"/>
      <c r="O95"/>
      <c r="P95"/>
      <c r="Q95"/>
    </row>
    <row r="96" spans="1:17">
      <c r="B96"/>
      <c r="C96"/>
      <c r="O96"/>
      <c r="P96"/>
      <c r="Q96"/>
    </row>
    <row r="97" spans="2:17">
      <c r="B97"/>
      <c r="C97"/>
      <c r="O97"/>
      <c r="P97"/>
      <c r="Q97"/>
    </row>
    <row r="98" spans="2:17">
      <c r="B98"/>
      <c r="C98"/>
      <c r="O98"/>
      <c r="P98"/>
      <c r="Q98"/>
    </row>
    <row r="99" spans="2:17">
      <c r="B99"/>
      <c r="C99"/>
      <c r="F99"/>
      <c r="G99"/>
      <c r="K99" s="235"/>
      <c r="O99"/>
      <c r="P99"/>
      <c r="Q99"/>
    </row>
    <row r="100" spans="2:17">
      <c r="B100"/>
      <c r="C100"/>
      <c r="F100"/>
      <c r="G100"/>
      <c r="K100" s="235"/>
      <c r="O100"/>
      <c r="P100"/>
      <c r="Q100"/>
    </row>
    <row r="101" spans="2:17">
      <c r="B101"/>
      <c r="C101"/>
      <c r="F101"/>
      <c r="G101"/>
      <c r="K101" s="235"/>
      <c r="O101"/>
      <c r="P101"/>
      <c r="Q101"/>
    </row>
    <row r="102" spans="2:17">
      <c r="B102"/>
      <c r="C102"/>
      <c r="F102"/>
      <c r="G102"/>
      <c r="K102" s="235"/>
      <c r="O102"/>
      <c r="P102"/>
      <c r="Q102"/>
    </row>
    <row r="103" spans="2:17">
      <c r="B103"/>
      <c r="C103"/>
      <c r="F103"/>
      <c r="G103"/>
      <c r="K103" s="235"/>
      <c r="O103"/>
      <c r="P103"/>
      <c r="Q103"/>
    </row>
  </sheetData>
  <sheetProtection password="A5F4" sheet="1" objects="1" scenarios="1" selectLockedCells="1"/>
  <mergeCells count="8">
    <mergeCell ref="B79:C79"/>
    <mergeCell ref="D8:J8"/>
    <mergeCell ref="B15:J15"/>
    <mergeCell ref="A18:A19"/>
    <mergeCell ref="B18:B19"/>
    <mergeCell ref="D18:E18"/>
    <mergeCell ref="H18:H19"/>
    <mergeCell ref="I18:I19"/>
  </mergeCells>
  <hyperlinks>
    <hyperlink ref="B79" location="sommaire!A1" display="RETOUR AU SOMMAIRE"/>
    <hyperlink ref="C79"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0"/>
  <sheetViews>
    <sheetView workbookViewId="0">
      <selection activeCell="D5" sqref="D5"/>
    </sheetView>
  </sheetViews>
  <sheetFormatPr baseColWidth="10" defaultRowHeight="15" x14ac:dyDescent="0"/>
  <cols>
    <col min="1" max="1" width="6.33203125" customWidth="1"/>
    <col min="2" max="2" width="24.6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760</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ROUND(F63,0)</f>
        <v>1997</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297</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D3+E61-D11</f>
        <v>297</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18"/>
      <c r="D18" s="481" t="s">
        <v>7</v>
      </c>
      <c r="E18" s="482"/>
      <c r="F18" s="18"/>
      <c r="G18" s="43"/>
      <c r="H18" s="487" t="str">
        <f>A18</f>
        <v>g/cl</v>
      </c>
      <c r="I18" s="489" t="str">
        <f>B18</f>
        <v>Ingrédients</v>
      </c>
      <c r="J18" s="70" t="s">
        <v>7</v>
      </c>
      <c r="M18" s="411">
        <f>100-(D12/((D11+D12)/100))</f>
        <v>85.127691537305964</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244</v>
      </c>
      <c r="B21" s="16"/>
      <c r="C21" s="209"/>
      <c r="D21" s="17"/>
      <c r="E21" s="17"/>
      <c r="F21" s="18"/>
      <c r="G21" s="43"/>
      <c r="H21" s="17"/>
      <c r="I21" s="17"/>
      <c r="J21" s="17"/>
      <c r="L21" s="154"/>
      <c r="P21"/>
      <c r="Q21"/>
    </row>
    <row r="22" spans="1:17">
      <c r="A22" s="438">
        <v>50</v>
      </c>
      <c r="B22" s="107" t="s">
        <v>160</v>
      </c>
      <c r="C22" s="196" t="s">
        <v>673</v>
      </c>
      <c r="D22" s="164">
        <v>382</v>
      </c>
      <c r="E22" s="49">
        <f t="shared" ref="E22:E27" si="0">D22/100*A22</f>
        <v>191</v>
      </c>
      <c r="F22" s="18"/>
      <c r="G22" s="43"/>
      <c r="H22" s="55">
        <f t="shared" ref="H22:H27" si="1">IF(E22=0,A22,A22/E22*J22)</f>
        <v>42.563845768652982</v>
      </c>
      <c r="I22" s="2" t="str">
        <f t="shared" ref="I22:I27" si="2">B22</f>
        <v>céréales au miel</v>
      </c>
      <c r="J22" s="49">
        <f>E22*$M$18%</f>
        <v>162.59389083625439</v>
      </c>
      <c r="M22" s="411"/>
      <c r="Q22"/>
    </row>
    <row r="23" spans="1:17">
      <c r="A23" s="438">
        <v>150</v>
      </c>
      <c r="B23" s="2" t="s">
        <v>1</v>
      </c>
      <c r="C23" s="218"/>
      <c r="D23" s="51">
        <v>0</v>
      </c>
      <c r="E23" s="49">
        <f t="shared" si="0"/>
        <v>0</v>
      </c>
      <c r="F23" s="18"/>
      <c r="G23" s="43"/>
      <c r="H23" s="55">
        <f t="shared" si="1"/>
        <v>150</v>
      </c>
      <c r="I23" s="2" t="str">
        <f t="shared" si="2"/>
        <v>café</v>
      </c>
      <c r="J23" s="49">
        <f t="shared" ref="J23:J27" si="3">E23*$M$18%</f>
        <v>0</v>
      </c>
      <c r="Q23"/>
    </row>
    <row r="24" spans="1:17">
      <c r="A24" s="438">
        <v>4</v>
      </c>
      <c r="B24" s="2" t="s">
        <v>2</v>
      </c>
      <c r="C24" s="186" t="s">
        <v>674</v>
      </c>
      <c r="D24" s="51">
        <v>400</v>
      </c>
      <c r="E24" s="49">
        <f t="shared" si="0"/>
        <v>16</v>
      </c>
      <c r="F24" s="18"/>
      <c r="G24" s="43"/>
      <c r="H24" s="55">
        <f t="shared" si="1"/>
        <v>3.4051076614922384</v>
      </c>
      <c r="I24" s="2" t="str">
        <f t="shared" si="2"/>
        <v>sucre</v>
      </c>
      <c r="J24" s="49">
        <f t="shared" si="3"/>
        <v>13.620430645968954</v>
      </c>
      <c r="O24" s="45"/>
      <c r="Q24"/>
    </row>
    <row r="25" spans="1:17">
      <c r="A25" s="438">
        <v>12</v>
      </c>
      <c r="B25" s="2" t="s">
        <v>5</v>
      </c>
      <c r="C25" s="196" t="s">
        <v>673</v>
      </c>
      <c r="D25" s="51">
        <v>161</v>
      </c>
      <c r="E25" s="49">
        <f t="shared" si="0"/>
        <v>19.32</v>
      </c>
      <c r="F25" s="18"/>
      <c r="G25" s="43"/>
      <c r="H25" s="55">
        <f t="shared" si="1"/>
        <v>10.215322984476714</v>
      </c>
      <c r="I25" s="2" t="str">
        <f t="shared" si="2"/>
        <v>crème à café</v>
      </c>
      <c r="J25" s="49">
        <f t="shared" si="3"/>
        <v>16.446670005007512</v>
      </c>
      <c r="O25" s="45"/>
      <c r="Q25"/>
    </row>
    <row r="26" spans="1:17">
      <c r="A26" s="438">
        <v>125</v>
      </c>
      <c r="B26" s="2" t="s">
        <v>123</v>
      </c>
      <c r="C26" s="183" t="s">
        <v>675</v>
      </c>
      <c r="D26" s="51">
        <v>87</v>
      </c>
      <c r="E26" s="49">
        <f t="shared" si="0"/>
        <v>108.75</v>
      </c>
      <c r="F26" s="18"/>
      <c r="G26" s="43"/>
      <c r="H26" s="55">
        <f t="shared" si="1"/>
        <v>106.40961442163244</v>
      </c>
      <c r="I26" s="2" t="str">
        <f t="shared" si="2"/>
        <v>yogourt aux fruits</v>
      </c>
      <c r="J26" s="49">
        <f t="shared" si="3"/>
        <v>92.57636454682023</v>
      </c>
      <c r="O26" s="45"/>
      <c r="Q26"/>
    </row>
    <row r="27" spans="1:17">
      <c r="A27" s="438">
        <v>150</v>
      </c>
      <c r="B27" s="2" t="s">
        <v>103</v>
      </c>
      <c r="C27" s="183" t="s">
        <v>675</v>
      </c>
      <c r="D27" s="51">
        <v>45</v>
      </c>
      <c r="E27" s="49">
        <f t="shared" si="0"/>
        <v>67.5</v>
      </c>
      <c r="F27" s="18"/>
      <c r="G27" s="43"/>
      <c r="H27" s="55">
        <f t="shared" si="1"/>
        <v>127.69153730595895</v>
      </c>
      <c r="I27" s="2" t="str">
        <f t="shared" si="2"/>
        <v>jus d'orange maison</v>
      </c>
      <c r="J27" s="49">
        <f t="shared" si="3"/>
        <v>57.461191787681521</v>
      </c>
      <c r="O27" s="45"/>
      <c r="Q27"/>
    </row>
    <row r="28" spans="1:17">
      <c r="A28" s="42"/>
      <c r="B28" s="131"/>
      <c r="C28" s="200"/>
      <c r="E28" s="130" t="s">
        <v>6</v>
      </c>
      <c r="F28" s="135">
        <f>SUM(E22:E27)</f>
        <v>402.57</v>
      </c>
      <c r="G28" s="128"/>
      <c r="H28" s="42"/>
      <c r="I28" s="131"/>
      <c r="J28" s="130" t="s">
        <v>6</v>
      </c>
      <c r="K28" s="336">
        <f>SUM(J22:J27)</f>
        <v>342.69854782173263</v>
      </c>
      <c r="O28" s="45"/>
      <c r="Q28"/>
    </row>
    <row r="29" spans="1:17">
      <c r="A29" s="216" t="s">
        <v>225</v>
      </c>
      <c r="B29" s="16"/>
      <c r="C29" s="209"/>
      <c r="D29" s="17"/>
      <c r="E29" s="17"/>
      <c r="F29" s="18"/>
      <c r="G29" s="43"/>
      <c r="H29" s="17"/>
      <c r="I29" s="17"/>
      <c r="J29" s="17"/>
      <c r="P29"/>
      <c r="Q29"/>
    </row>
    <row r="30" spans="1:17">
      <c r="A30" s="66" t="s">
        <v>604</v>
      </c>
      <c r="B30" s="257"/>
      <c r="C30" s="257"/>
      <c r="D30" s="257"/>
      <c r="E30" s="257"/>
      <c r="F30" s="257"/>
      <c r="G30" s="257"/>
      <c r="H30" s="257"/>
      <c r="I30" s="257"/>
      <c r="J30" s="258"/>
      <c r="L30" s="154"/>
      <c r="O30" s="45"/>
      <c r="Q30"/>
    </row>
    <row r="31" spans="1:17">
      <c r="A31" s="439">
        <v>150</v>
      </c>
      <c r="B31" s="2" t="s">
        <v>608</v>
      </c>
      <c r="C31" s="185" t="s">
        <v>676</v>
      </c>
      <c r="D31" s="253">
        <v>129</v>
      </c>
      <c r="E31" s="254">
        <f t="shared" ref="E31:E40" si="4">D31/100*A31</f>
        <v>193.5</v>
      </c>
      <c r="F31" s="18"/>
      <c r="G31" s="43"/>
      <c r="H31" s="255">
        <f t="shared" ref="H31:H40" si="5">IF(E31=0,A31,A31/E31*J31)</f>
        <v>127.69153730595895</v>
      </c>
      <c r="I31" s="251" t="str">
        <f t="shared" ref="I31:I39" si="6">B31</f>
        <v>filet de dorade</v>
      </c>
      <c r="J31" s="254">
        <f t="shared" ref="J31:J39" si="7">E31*$M$18%</f>
        <v>164.72208312468703</v>
      </c>
      <c r="L31" s="154"/>
      <c r="O31" s="45"/>
      <c r="Q31"/>
    </row>
    <row r="32" spans="1:17">
      <c r="A32" s="439">
        <v>250</v>
      </c>
      <c r="B32" s="2" t="s">
        <v>609</v>
      </c>
      <c r="C32" s="185" t="s">
        <v>676</v>
      </c>
      <c r="D32" s="253">
        <v>13</v>
      </c>
      <c r="E32" s="49">
        <f t="shared" si="4"/>
        <v>32.5</v>
      </c>
      <c r="F32" s="68"/>
      <c r="G32" s="128"/>
      <c r="H32" s="55">
        <f t="shared" si="5"/>
        <v>212.81922884326491</v>
      </c>
      <c r="I32" s="2" t="str">
        <f t="shared" si="6"/>
        <v>laitues</v>
      </c>
      <c r="J32" s="49">
        <f t="shared" si="7"/>
        <v>27.666499749624439</v>
      </c>
      <c r="O32" s="45"/>
      <c r="Q32"/>
    </row>
    <row r="33" spans="1:17">
      <c r="A33" s="439">
        <v>25</v>
      </c>
      <c r="B33" s="2" t="s">
        <v>610</v>
      </c>
      <c r="C33" s="185" t="s">
        <v>676</v>
      </c>
      <c r="D33" s="253">
        <v>23</v>
      </c>
      <c r="E33" s="49">
        <f t="shared" si="4"/>
        <v>5.75</v>
      </c>
      <c r="F33" s="68"/>
      <c r="G33" s="128"/>
      <c r="H33" s="55">
        <f t="shared" si="5"/>
        <v>21.281922884326491</v>
      </c>
      <c r="I33" s="2" t="str">
        <f t="shared" si="6"/>
        <v>oseille</v>
      </c>
      <c r="J33" s="49">
        <f t="shared" si="7"/>
        <v>4.894842263395093</v>
      </c>
      <c r="O33" s="45"/>
      <c r="Q33"/>
    </row>
    <row r="34" spans="1:17">
      <c r="A34" s="439">
        <v>50</v>
      </c>
      <c r="B34" s="2" t="s">
        <v>271</v>
      </c>
      <c r="C34" s="185" t="s">
        <v>676</v>
      </c>
      <c r="D34" s="253">
        <v>29</v>
      </c>
      <c r="E34" s="49">
        <f t="shared" si="4"/>
        <v>14.499999999999998</v>
      </c>
      <c r="F34" s="68"/>
      <c r="G34" s="128"/>
      <c r="H34" s="55">
        <f t="shared" si="5"/>
        <v>42.563845768652975</v>
      </c>
      <c r="I34" s="2" t="str">
        <f t="shared" si="6"/>
        <v>oignon</v>
      </c>
      <c r="J34" s="49">
        <f t="shared" si="7"/>
        <v>12.343515272909363</v>
      </c>
      <c r="O34" s="45"/>
      <c r="Q34"/>
    </row>
    <row r="35" spans="1:17">
      <c r="A35" s="439">
        <v>6</v>
      </c>
      <c r="B35" s="2" t="s">
        <v>362</v>
      </c>
      <c r="C35" s="186" t="s">
        <v>674</v>
      </c>
      <c r="D35" s="253">
        <v>899</v>
      </c>
      <c r="E35" s="49">
        <f t="shared" si="4"/>
        <v>53.94</v>
      </c>
      <c r="F35" s="68"/>
      <c r="G35" s="128"/>
      <c r="H35" s="55">
        <f t="shared" si="5"/>
        <v>5.1076614922383579</v>
      </c>
      <c r="I35" s="2" t="str">
        <f t="shared" si="6"/>
        <v>huile d’olive</v>
      </c>
      <c r="J35" s="49">
        <f t="shared" si="7"/>
        <v>45.917876815222833</v>
      </c>
      <c r="O35" s="45"/>
      <c r="Q35"/>
    </row>
    <row r="36" spans="1:17">
      <c r="A36" s="439">
        <v>12.5</v>
      </c>
      <c r="B36" s="2" t="s">
        <v>390</v>
      </c>
      <c r="C36" s="186" t="s">
        <v>674</v>
      </c>
      <c r="D36" s="253">
        <v>747</v>
      </c>
      <c r="E36" s="49">
        <f t="shared" si="4"/>
        <v>93.375</v>
      </c>
      <c r="F36" s="68"/>
      <c r="G36" s="128"/>
      <c r="H36" s="55">
        <f t="shared" si="5"/>
        <v>10.640961442163245</v>
      </c>
      <c r="I36" s="2" t="str">
        <f t="shared" si="6"/>
        <v xml:space="preserve">beurre </v>
      </c>
      <c r="J36" s="49">
        <f t="shared" si="7"/>
        <v>79.487981972959446</v>
      </c>
      <c r="O36" s="45"/>
      <c r="Q36"/>
    </row>
    <row r="37" spans="1:17">
      <c r="A37" s="439">
        <v>5</v>
      </c>
      <c r="B37" s="2" t="s">
        <v>607</v>
      </c>
      <c r="C37" s="196" t="s">
        <v>673</v>
      </c>
      <c r="D37" s="253">
        <v>338</v>
      </c>
      <c r="E37" s="49">
        <f t="shared" si="4"/>
        <v>16.899999999999999</v>
      </c>
      <c r="F37" s="68"/>
      <c r="G37" s="128"/>
      <c r="H37" s="55">
        <f t="shared" si="5"/>
        <v>4.2563845768652975</v>
      </c>
      <c r="I37" s="2" t="str">
        <f t="shared" si="6"/>
        <v xml:space="preserve">farine </v>
      </c>
      <c r="J37" s="49">
        <f t="shared" si="7"/>
        <v>14.386579869804706</v>
      </c>
      <c r="O37" s="45"/>
      <c r="Q37"/>
    </row>
    <row r="38" spans="1:17">
      <c r="A38" s="439">
        <f>250/4</f>
        <v>62.5</v>
      </c>
      <c r="B38" s="2" t="s">
        <v>611</v>
      </c>
      <c r="C38" s="196" t="s">
        <v>673</v>
      </c>
      <c r="D38" s="253">
        <v>349</v>
      </c>
      <c r="E38" s="49">
        <f t="shared" si="4"/>
        <v>218.125</v>
      </c>
      <c r="F38" s="68"/>
      <c r="G38" s="128"/>
      <c r="H38" s="55">
        <f t="shared" si="5"/>
        <v>53.20480721081622</v>
      </c>
      <c r="I38" s="2" t="str">
        <f t="shared" si="6"/>
        <v>riz basmati</v>
      </c>
      <c r="J38" s="49">
        <f t="shared" si="7"/>
        <v>185.68477716574861</v>
      </c>
      <c r="O38" s="45"/>
      <c r="Q38"/>
    </row>
    <row r="39" spans="1:17">
      <c r="A39" s="439">
        <v>0.5</v>
      </c>
      <c r="B39" s="2" t="s">
        <v>109</v>
      </c>
      <c r="C39" s="186" t="s">
        <v>674</v>
      </c>
      <c r="D39" s="253">
        <v>0</v>
      </c>
      <c r="E39" s="49">
        <f t="shared" si="4"/>
        <v>0</v>
      </c>
      <c r="F39" s="68"/>
      <c r="G39" s="128"/>
      <c r="H39" s="55">
        <f t="shared" si="5"/>
        <v>0.5</v>
      </c>
      <c r="I39" s="2" t="str">
        <f t="shared" si="6"/>
        <v>sel</v>
      </c>
      <c r="J39" s="49">
        <f t="shared" si="7"/>
        <v>0</v>
      </c>
      <c r="O39" s="45"/>
      <c r="Q39"/>
    </row>
    <row r="40" spans="1:17">
      <c r="A40" s="439">
        <v>0.25</v>
      </c>
      <c r="B40" s="2" t="s">
        <v>116</v>
      </c>
      <c r="C40" s="199" t="s">
        <v>675</v>
      </c>
      <c r="D40" s="253">
        <v>222</v>
      </c>
      <c r="E40" s="49">
        <f t="shared" si="4"/>
        <v>0.55500000000000005</v>
      </c>
      <c r="F40" s="68"/>
      <c r="G40" s="128"/>
      <c r="H40" s="55">
        <f t="shared" si="5"/>
        <v>0.21281922884326487</v>
      </c>
      <c r="I40" s="2" t="str">
        <f>B40</f>
        <v>poivre</v>
      </c>
      <c r="J40" s="49">
        <f>E40*$M$18%</f>
        <v>0.4724586880320481</v>
      </c>
      <c r="O40" s="45"/>
      <c r="P40"/>
      <c r="Q40"/>
    </row>
    <row r="41" spans="1:17">
      <c r="A41" s="66" t="s">
        <v>127</v>
      </c>
      <c r="B41" s="63"/>
      <c r="C41" s="202"/>
      <c r="D41" s="63"/>
      <c r="E41" s="64"/>
      <c r="F41" s="68"/>
      <c r="G41" s="43"/>
      <c r="H41" s="65"/>
      <c r="I41" s="63"/>
      <c r="J41" s="67"/>
      <c r="O41" s="45"/>
      <c r="Q41"/>
    </row>
    <row r="42" spans="1:17">
      <c r="A42" s="438">
        <v>150</v>
      </c>
      <c r="B42" s="2" t="s">
        <v>4</v>
      </c>
      <c r="C42" s="199" t="s">
        <v>675</v>
      </c>
      <c r="D42" s="51">
        <v>55</v>
      </c>
      <c r="E42" s="49">
        <f>D42/100*A42</f>
        <v>82.5</v>
      </c>
      <c r="F42" s="18"/>
      <c r="G42" s="43"/>
      <c r="H42" s="55">
        <f>IF(E42=0,A42,A42/E42*J42)</f>
        <v>127.69153730595893</v>
      </c>
      <c r="I42" s="56" t="str">
        <f t="shared" ref="I42" si="8">B42</f>
        <v>pomme</v>
      </c>
      <c r="J42" s="49">
        <f t="shared" ref="J42" si="9">E42*$M$18%</f>
        <v>70.230345518277417</v>
      </c>
      <c r="K42" s="275"/>
      <c r="O42" s="45"/>
      <c r="P42"/>
      <c r="Q42"/>
    </row>
    <row r="43" spans="1:17">
      <c r="A43" s="42"/>
      <c r="B43" s="131"/>
      <c r="C43" s="200"/>
      <c r="E43" s="130" t="s">
        <v>6</v>
      </c>
      <c r="F43" s="138">
        <f>SUM(E31:E42)</f>
        <v>711.64499999999987</v>
      </c>
      <c r="G43" s="128"/>
      <c r="H43" s="42"/>
      <c r="I43" s="131"/>
      <c r="J43" s="130" t="s">
        <v>6</v>
      </c>
      <c r="K43" s="336">
        <f>SUM(J31:J42)</f>
        <v>605.80696044066099</v>
      </c>
      <c r="O43" s="45"/>
      <c r="Q43"/>
    </row>
    <row r="44" spans="1:17" ht="6" customHeight="1">
      <c r="A44" s="17"/>
      <c r="B44" s="17"/>
      <c r="C44" s="188"/>
      <c r="D44" s="68"/>
      <c r="E44" s="17"/>
      <c r="F44" s="18"/>
      <c r="G44" s="43"/>
      <c r="H44" s="17"/>
      <c r="I44" s="17"/>
      <c r="J44" s="17"/>
      <c r="O44" s="45"/>
      <c r="P44"/>
      <c r="Q44"/>
    </row>
    <row r="45" spans="1:17">
      <c r="A45" s="216" t="s">
        <v>228</v>
      </c>
      <c r="B45" s="16"/>
      <c r="C45" s="209"/>
      <c r="D45" s="17"/>
      <c r="E45" s="17"/>
      <c r="F45" s="18"/>
      <c r="G45" s="43"/>
      <c r="H45" s="17"/>
      <c r="I45" s="17"/>
      <c r="J45" s="17"/>
      <c r="P45"/>
      <c r="Q45"/>
    </row>
    <row r="46" spans="1:17">
      <c r="A46" s="438">
        <v>100</v>
      </c>
      <c r="B46" s="107" t="s">
        <v>279</v>
      </c>
      <c r="C46" s="185" t="s">
        <v>676</v>
      </c>
      <c r="D46" s="51">
        <v>112</v>
      </c>
      <c r="E46" s="49">
        <f>D46/100*A46</f>
        <v>112.00000000000001</v>
      </c>
      <c r="F46" s="18"/>
      <c r="G46" s="43"/>
      <c r="H46" s="55">
        <f>IF(E46=0,A46,A46/E46*J46)</f>
        <v>85.127691537305964</v>
      </c>
      <c r="I46" s="2" t="str">
        <f>B46</f>
        <v>petit-suisse</v>
      </c>
      <c r="J46" s="49">
        <f>E46*$M$18%</f>
        <v>95.343014521782692</v>
      </c>
    </row>
    <row r="47" spans="1:17">
      <c r="A47" s="438">
        <v>8</v>
      </c>
      <c r="B47" s="107" t="s">
        <v>2</v>
      </c>
      <c r="C47" s="186" t="s">
        <v>674</v>
      </c>
      <c r="D47" s="51">
        <v>400</v>
      </c>
      <c r="E47" s="49">
        <f>D47/100*A47</f>
        <v>32</v>
      </c>
      <c r="F47" s="18"/>
      <c r="G47" s="43"/>
      <c r="H47" s="55">
        <f>IF(E47=0,A47,A47/E47*J47)</f>
        <v>6.8102153229844768</v>
      </c>
      <c r="I47" s="2" t="str">
        <f>B47</f>
        <v>sucre</v>
      </c>
      <c r="J47" s="49">
        <f>E47*$M$18%</f>
        <v>27.240861291937907</v>
      </c>
    </row>
    <row r="48" spans="1:17">
      <c r="A48" s="42"/>
      <c r="B48" s="157"/>
      <c r="C48" s="272"/>
      <c r="E48" s="130" t="s">
        <v>6</v>
      </c>
      <c r="F48" s="135">
        <f>SUM(E46:E47)</f>
        <v>144</v>
      </c>
      <c r="G48" s="140"/>
      <c r="H48" s="42"/>
      <c r="I48" s="131"/>
      <c r="J48" s="130" t="s">
        <v>6</v>
      </c>
      <c r="K48" s="336">
        <f>SUM(J46:J47)</f>
        <v>122.5838758137206</v>
      </c>
      <c r="O48" s="45"/>
      <c r="Q48"/>
    </row>
    <row r="49" spans="1:17">
      <c r="A49" s="216" t="s">
        <v>226</v>
      </c>
      <c r="B49" s="16"/>
      <c r="C49" s="209"/>
      <c r="D49" s="17"/>
      <c r="E49" s="17"/>
      <c r="F49" s="18"/>
      <c r="G49" s="43"/>
      <c r="H49" s="17"/>
      <c r="I49" s="17"/>
      <c r="J49" s="17"/>
      <c r="P49"/>
      <c r="Q49"/>
    </row>
    <row r="50" spans="1:17">
      <c r="A50" s="66" t="s">
        <v>601</v>
      </c>
      <c r="B50" s="257"/>
      <c r="C50" s="257"/>
      <c r="D50" s="257"/>
      <c r="E50" s="257"/>
      <c r="F50" s="257"/>
      <c r="G50" s="257"/>
      <c r="H50" s="257"/>
      <c r="I50" s="257"/>
      <c r="J50" s="258"/>
      <c r="L50" s="154"/>
      <c r="O50" s="45"/>
      <c r="Q50"/>
    </row>
    <row r="51" spans="1:17">
      <c r="A51" s="439">
        <v>150</v>
      </c>
      <c r="B51" s="2" t="s">
        <v>612</v>
      </c>
      <c r="C51" s="185" t="s">
        <v>676</v>
      </c>
      <c r="D51" s="253">
        <v>76</v>
      </c>
      <c r="E51" s="49">
        <f t="shared" ref="E51:E59" si="10">D51/100*A51</f>
        <v>114</v>
      </c>
      <c r="F51" s="68"/>
      <c r="G51" s="128"/>
      <c r="H51" s="55">
        <f t="shared" ref="H51:H59" si="11">IF(E51=0,A51,A51/E51*J51)</f>
        <v>127.69153730595895</v>
      </c>
      <c r="I51" s="2" t="str">
        <f t="shared" ref="I51:I59" si="12">B51</f>
        <v xml:space="preserve">pommes de terre </v>
      </c>
      <c r="J51" s="49">
        <f t="shared" ref="J51:J61" si="13">E51*$M$18%</f>
        <v>97.04556835252879</v>
      </c>
      <c r="O51" s="45"/>
      <c r="P51"/>
      <c r="Q51"/>
    </row>
    <row r="52" spans="1:17">
      <c r="A52" s="439">
        <v>150</v>
      </c>
      <c r="B52" s="2" t="s">
        <v>613</v>
      </c>
      <c r="C52" s="185" t="s">
        <v>676</v>
      </c>
      <c r="D52" s="253">
        <v>46</v>
      </c>
      <c r="E52" s="49">
        <f t="shared" si="10"/>
        <v>69</v>
      </c>
      <c r="F52" s="68"/>
      <c r="G52" s="128"/>
      <c r="H52" s="55">
        <f t="shared" si="11"/>
        <v>127.69153730595895</v>
      </c>
      <c r="I52" s="2" t="str">
        <f t="shared" si="12"/>
        <v>betteraves rouges</v>
      </c>
      <c r="J52" s="49">
        <f t="shared" si="13"/>
        <v>58.738107160741116</v>
      </c>
      <c r="O52" s="45"/>
      <c r="P52"/>
      <c r="Q52"/>
    </row>
    <row r="53" spans="1:17">
      <c r="A53" s="439">
        <v>3</v>
      </c>
      <c r="B53" s="2" t="s">
        <v>605</v>
      </c>
      <c r="C53" s="199" t="s">
        <v>675</v>
      </c>
      <c r="D53" s="253">
        <v>285</v>
      </c>
      <c r="E53" s="49">
        <f t="shared" si="10"/>
        <v>8.5500000000000007</v>
      </c>
      <c r="F53" s="68"/>
      <c r="G53" s="128"/>
      <c r="H53" s="55">
        <f t="shared" si="11"/>
        <v>2.5538307461191789</v>
      </c>
      <c r="I53" s="2" t="str">
        <f t="shared" si="12"/>
        <v>thym séché</v>
      </c>
      <c r="J53" s="49">
        <f t="shared" si="13"/>
        <v>7.2784176264396603</v>
      </c>
      <c r="O53" s="45"/>
      <c r="P53"/>
      <c r="Q53"/>
    </row>
    <row r="54" spans="1:17">
      <c r="A54" s="439">
        <v>9</v>
      </c>
      <c r="B54" s="2" t="s">
        <v>606</v>
      </c>
      <c r="C54" s="186" t="s">
        <v>674</v>
      </c>
      <c r="D54" s="253">
        <v>899</v>
      </c>
      <c r="E54" s="49">
        <f t="shared" si="10"/>
        <v>80.91</v>
      </c>
      <c r="F54" s="68"/>
      <c r="G54" s="128"/>
      <c r="H54" s="55">
        <f t="shared" si="11"/>
        <v>7.6614922383575372</v>
      </c>
      <c r="I54" s="2" t="str">
        <f t="shared" si="12"/>
        <v xml:space="preserve">huile d’olive  </v>
      </c>
      <c r="J54" s="49">
        <f t="shared" si="13"/>
        <v>68.876815222834253</v>
      </c>
      <c r="L54" s="154"/>
      <c r="O54" s="45"/>
      <c r="P54"/>
      <c r="Q54"/>
    </row>
    <row r="55" spans="1:17">
      <c r="A55" s="439">
        <v>125</v>
      </c>
      <c r="B55" s="2" t="s">
        <v>614</v>
      </c>
      <c r="C55" s="249" t="s">
        <v>677</v>
      </c>
      <c r="D55" s="253">
        <v>359</v>
      </c>
      <c r="E55" s="49">
        <f t="shared" si="10"/>
        <v>448.75</v>
      </c>
      <c r="F55" s="68"/>
      <c r="G55" s="128"/>
      <c r="H55" s="55">
        <f t="shared" si="11"/>
        <v>106.40961442163245</v>
      </c>
      <c r="I55" s="2" t="str">
        <f t="shared" si="12"/>
        <v xml:space="preserve">fromage à raclette </v>
      </c>
      <c r="J55" s="49">
        <f t="shared" si="13"/>
        <v>382.01051577366047</v>
      </c>
      <c r="L55" s="154"/>
      <c r="O55" s="45"/>
      <c r="P55"/>
      <c r="Q55"/>
    </row>
    <row r="56" spans="1:17">
      <c r="A56" s="439">
        <v>50</v>
      </c>
      <c r="B56" s="2" t="s">
        <v>602</v>
      </c>
      <c r="C56" s="185" t="s">
        <v>676</v>
      </c>
      <c r="D56" s="253">
        <v>18</v>
      </c>
      <c r="E56" s="49">
        <f t="shared" si="10"/>
        <v>9</v>
      </c>
      <c r="F56" s="68"/>
      <c r="G56" s="128"/>
      <c r="H56" s="55">
        <f t="shared" si="11"/>
        <v>42.563845768652975</v>
      </c>
      <c r="I56" s="2" t="str">
        <f t="shared" si="12"/>
        <v>salade pommée</v>
      </c>
      <c r="J56" s="49">
        <f t="shared" si="13"/>
        <v>7.6614922383575363</v>
      </c>
      <c r="O56" s="45"/>
      <c r="P56"/>
      <c r="Q56"/>
    </row>
    <row r="57" spans="1:17">
      <c r="A57" s="439">
        <v>12</v>
      </c>
      <c r="B57" s="2" t="s">
        <v>603</v>
      </c>
      <c r="C57" s="199" t="s">
        <v>675</v>
      </c>
      <c r="D57" s="253">
        <v>68</v>
      </c>
      <c r="E57" s="49">
        <f t="shared" si="10"/>
        <v>8.16</v>
      </c>
      <c r="F57" s="68"/>
      <c r="G57" s="128"/>
      <c r="H57" s="55">
        <f t="shared" si="11"/>
        <v>10.215322984476716</v>
      </c>
      <c r="I57" s="2" t="str">
        <f t="shared" si="12"/>
        <v>sauce au yogourt (sans huile)</v>
      </c>
      <c r="J57" s="49">
        <f t="shared" si="13"/>
        <v>6.9464196294441667</v>
      </c>
      <c r="O57" s="45"/>
      <c r="P57"/>
      <c r="Q57"/>
    </row>
    <row r="58" spans="1:17">
      <c r="A58" s="439">
        <v>0.5</v>
      </c>
      <c r="B58" s="2" t="s">
        <v>331</v>
      </c>
      <c r="C58" s="186" t="s">
        <v>674</v>
      </c>
      <c r="D58" s="253">
        <v>0</v>
      </c>
      <c r="E58" s="49">
        <f t="shared" si="10"/>
        <v>0</v>
      </c>
      <c r="F58" s="68"/>
      <c r="G58" s="128"/>
      <c r="H58" s="55">
        <f t="shared" si="11"/>
        <v>0.5</v>
      </c>
      <c r="I58" s="2" t="str">
        <f t="shared" si="12"/>
        <v xml:space="preserve">sel </v>
      </c>
      <c r="J58" s="49">
        <f t="shared" si="13"/>
        <v>0</v>
      </c>
      <c r="O58" s="45"/>
      <c r="P58"/>
      <c r="Q58"/>
    </row>
    <row r="59" spans="1:17">
      <c r="A59" s="439">
        <v>0.25</v>
      </c>
      <c r="B59" s="2" t="s">
        <v>150</v>
      </c>
      <c r="C59" s="199" t="s">
        <v>675</v>
      </c>
      <c r="D59" s="253">
        <v>222</v>
      </c>
      <c r="E59" s="49">
        <f t="shared" si="10"/>
        <v>0.55500000000000005</v>
      </c>
      <c r="F59" s="68"/>
      <c r="G59" s="128"/>
      <c r="H59" s="55">
        <f t="shared" si="11"/>
        <v>0.21281922884326487</v>
      </c>
      <c r="I59" s="2" t="str">
        <f t="shared" si="12"/>
        <v xml:space="preserve">poivre </v>
      </c>
      <c r="J59" s="49">
        <f t="shared" si="13"/>
        <v>0.4724586880320481</v>
      </c>
      <c r="O59" s="45"/>
      <c r="P59"/>
      <c r="Q59"/>
    </row>
    <row r="60" spans="1:17">
      <c r="A60" s="42"/>
      <c r="B60" s="131"/>
      <c r="C60" s="201"/>
      <c r="E60" s="130" t="s">
        <v>6</v>
      </c>
      <c r="F60" s="135">
        <f>SUM(E51:E59)</f>
        <v>738.92499999999995</v>
      </c>
      <c r="G60" s="140"/>
      <c r="H60" s="42"/>
      <c r="I60" s="131"/>
      <c r="J60" s="130" t="s">
        <v>6</v>
      </c>
      <c r="K60" s="336">
        <f>SUM(J51:J59)</f>
        <v>629.02979469203797</v>
      </c>
      <c r="O60" s="45"/>
      <c r="Q60"/>
    </row>
    <row r="61" spans="1:17">
      <c r="A61" s="54">
        <f>IF(D5="non",0,IF(D5="1 verre",125,250))</f>
        <v>0</v>
      </c>
      <c r="B61" s="2" t="str">
        <f>IF(A61=0,"","vin")</f>
        <v/>
      </c>
      <c r="C61" s="203"/>
      <c r="D61" s="51">
        <v>80</v>
      </c>
      <c r="E61" s="49">
        <f>D61/100*A61</f>
        <v>0</v>
      </c>
      <c r="G61" s="142"/>
      <c r="H61" s="55">
        <f>IF(E61=0,A61,A61/E61*J61)</f>
        <v>0</v>
      </c>
      <c r="I61" s="2" t="str">
        <f>B61</f>
        <v/>
      </c>
      <c r="J61" s="49">
        <f t="shared" si="13"/>
        <v>0</v>
      </c>
      <c r="K61" s="335"/>
      <c r="O61" s="45"/>
      <c r="P61"/>
      <c r="Q61"/>
    </row>
    <row r="62" spans="1:17" ht="6" customHeight="1">
      <c r="A62" s="17"/>
      <c r="B62" s="17"/>
      <c r="C62" s="188"/>
      <c r="D62" s="68"/>
      <c r="E62" s="17"/>
      <c r="F62" s="18"/>
      <c r="G62" s="204"/>
      <c r="H62" s="17"/>
      <c r="I62" s="17"/>
      <c r="J62" s="17"/>
      <c r="K62" s="335"/>
      <c r="P62"/>
      <c r="Q62"/>
    </row>
    <row r="63" spans="1:17">
      <c r="A63" s="17"/>
      <c r="B63" s="17"/>
      <c r="C63" s="188"/>
      <c r="D63" s="69" t="s">
        <v>129</v>
      </c>
      <c r="F63" s="138">
        <f>SUM(F22:F61)</f>
        <v>1997.1399999999999</v>
      </c>
      <c r="G63" s="204"/>
      <c r="H63" s="17"/>
      <c r="I63" s="69" t="s">
        <v>129</v>
      </c>
      <c r="K63" s="336">
        <f>SUM(K22:K60)</f>
        <v>1700.1191787681521</v>
      </c>
      <c r="P63"/>
      <c r="Q63"/>
    </row>
    <row r="64" spans="1:17">
      <c r="A64" s="17"/>
      <c r="B64" s="17"/>
      <c r="C64" s="188"/>
      <c r="D64" s="18" t="s">
        <v>130</v>
      </c>
      <c r="E64" s="25"/>
      <c r="F64" s="144">
        <f>F63+E61</f>
        <v>1997.1399999999999</v>
      </c>
      <c r="G64" s="43"/>
      <c r="H64" s="42"/>
      <c r="I64" s="18" t="s">
        <v>130</v>
      </c>
      <c r="J64" s="25"/>
      <c r="K64" s="336">
        <f>K63+J61</f>
        <v>1700.1191787681521</v>
      </c>
      <c r="P64"/>
      <c r="Q64"/>
    </row>
    <row r="65" spans="1:17">
      <c r="A65" s="17"/>
      <c r="B65" s="16"/>
      <c r="C65" s="188"/>
      <c r="D65" s="17"/>
      <c r="E65" s="17"/>
      <c r="F65" s="205"/>
      <c r="G65" s="43"/>
      <c r="H65" s="17"/>
      <c r="I65" s="17"/>
      <c r="J65" s="17"/>
      <c r="P65"/>
      <c r="Q65"/>
    </row>
    <row r="66" spans="1:17" ht="19">
      <c r="A66" s="118" t="s">
        <v>100</v>
      </c>
      <c r="B66" s="491" t="s">
        <v>99</v>
      </c>
      <c r="C66" s="491"/>
      <c r="D66" s="17"/>
      <c r="E66" s="17"/>
      <c r="F66" s="18"/>
      <c r="G66" s="18"/>
      <c r="H66" s="17"/>
      <c r="I66" s="17"/>
      <c r="J66" s="17"/>
      <c r="P66"/>
      <c r="Q66"/>
    </row>
    <row r="67" spans="1:17" ht="409" customHeight="1">
      <c r="A67" s="17"/>
      <c r="B67" s="16"/>
      <c r="C67" s="228"/>
      <c r="D67" s="17"/>
      <c r="E67" s="17"/>
      <c r="F67" s="18"/>
      <c r="G67" s="18"/>
      <c r="H67" s="17"/>
      <c r="I67" s="17"/>
      <c r="J67" s="17"/>
      <c r="K67" s="18"/>
      <c r="P67"/>
      <c r="Q67"/>
    </row>
    <row r="68" spans="1:17">
      <c r="A68" s="17"/>
      <c r="B68" s="16"/>
      <c r="C68" s="188"/>
      <c r="D68" s="17"/>
      <c r="E68" s="17"/>
      <c r="F68" s="18"/>
      <c r="G68" s="18"/>
      <c r="H68" s="17"/>
      <c r="I68" s="17"/>
      <c r="J68" s="17"/>
      <c r="L68" s="154"/>
      <c r="P68"/>
      <c r="Q68"/>
    </row>
    <row r="69" spans="1:17">
      <c r="A69" s="17"/>
      <c r="B69" s="16"/>
      <c r="C69" s="188"/>
      <c r="D69" s="17"/>
      <c r="E69" s="17"/>
      <c r="F69" s="18"/>
      <c r="G69" s="18"/>
      <c r="H69" s="17"/>
      <c r="I69" s="17"/>
      <c r="J69" s="17"/>
      <c r="L69" s="154"/>
      <c r="P69"/>
      <c r="Q69"/>
    </row>
    <row r="70" spans="1:17">
      <c r="F70" s="18"/>
      <c r="G70" s="18"/>
      <c r="L70" s="154"/>
      <c r="N70"/>
      <c r="O70"/>
      <c r="P70"/>
      <c r="Q70"/>
    </row>
    <row r="71" spans="1:17">
      <c r="F71" s="206"/>
      <c r="L71" s="154"/>
      <c r="N71"/>
      <c r="O71"/>
      <c r="P71"/>
      <c r="Q71"/>
    </row>
    <row r="72" spans="1:17">
      <c r="B72"/>
      <c r="C72"/>
      <c r="L72" s="154"/>
      <c r="N72"/>
      <c r="O72"/>
      <c r="P72"/>
      <c r="Q72"/>
    </row>
    <row r="73" spans="1:17">
      <c r="B73"/>
      <c r="C73"/>
      <c r="L73" s="154"/>
      <c r="N73"/>
      <c r="O73"/>
      <c r="P73"/>
      <c r="Q73"/>
    </row>
    <row r="74" spans="1:17">
      <c r="B74"/>
      <c r="C74"/>
      <c r="N74"/>
      <c r="O74"/>
      <c r="P74"/>
      <c r="Q74"/>
    </row>
    <row r="75" spans="1:17">
      <c r="B75"/>
      <c r="C75"/>
      <c r="N75"/>
      <c r="O75"/>
      <c r="P75"/>
      <c r="Q75"/>
    </row>
    <row r="76" spans="1:17">
      <c r="B76"/>
      <c r="C76"/>
      <c r="N76"/>
      <c r="O76"/>
      <c r="P76"/>
      <c r="Q76"/>
    </row>
    <row r="77" spans="1:17">
      <c r="B77"/>
      <c r="C77"/>
      <c r="N77"/>
      <c r="O77"/>
      <c r="P77"/>
      <c r="Q77"/>
    </row>
    <row r="78" spans="1:17">
      <c r="B78"/>
      <c r="C78"/>
      <c r="N78"/>
      <c r="O78"/>
      <c r="P78"/>
      <c r="Q78"/>
    </row>
    <row r="79" spans="1:17">
      <c r="B79"/>
      <c r="C79"/>
      <c r="N79"/>
      <c r="O79"/>
      <c r="P79"/>
      <c r="Q79"/>
    </row>
    <row r="80" spans="1:17">
      <c r="B80"/>
      <c r="C80"/>
      <c r="N80"/>
      <c r="O80"/>
      <c r="P80"/>
      <c r="Q80"/>
    </row>
    <row r="81" spans="2:17">
      <c r="B81"/>
      <c r="C81"/>
      <c r="N81"/>
      <c r="O81"/>
      <c r="P81"/>
      <c r="Q81"/>
    </row>
    <row r="82" spans="2:17">
      <c r="B82"/>
      <c r="C82"/>
      <c r="N82"/>
      <c r="O82"/>
      <c r="P82"/>
      <c r="Q82"/>
    </row>
    <row r="83" spans="2:17">
      <c r="B83"/>
      <c r="C83"/>
      <c r="N83"/>
      <c r="O83"/>
      <c r="P83"/>
      <c r="Q83"/>
    </row>
    <row r="84" spans="2:17">
      <c r="B84"/>
      <c r="C84"/>
      <c r="N84"/>
      <c r="O84"/>
      <c r="P84"/>
      <c r="Q84"/>
    </row>
    <row r="85" spans="2:17">
      <c r="B85"/>
      <c r="C85"/>
      <c r="N85"/>
      <c r="O85"/>
      <c r="P85"/>
      <c r="Q85"/>
    </row>
    <row r="86" spans="2:17">
      <c r="B86"/>
      <c r="C86"/>
      <c r="F86"/>
      <c r="G86"/>
      <c r="K86" s="235"/>
      <c r="N86"/>
      <c r="O86"/>
      <c r="P86"/>
      <c r="Q86"/>
    </row>
    <row r="87" spans="2:17">
      <c r="B87"/>
      <c r="C87"/>
      <c r="F87"/>
      <c r="G87"/>
      <c r="K87" s="235"/>
      <c r="N87"/>
      <c r="O87"/>
      <c r="P87"/>
      <c r="Q87"/>
    </row>
    <row r="88" spans="2:17">
      <c r="B88"/>
      <c r="C88"/>
      <c r="F88"/>
      <c r="G88"/>
      <c r="K88" s="235"/>
      <c r="N88"/>
      <c r="O88"/>
      <c r="P88"/>
      <c r="Q88"/>
    </row>
    <row r="89" spans="2:17">
      <c r="B89"/>
      <c r="C89"/>
      <c r="F89"/>
      <c r="G89"/>
      <c r="K89" s="235"/>
      <c r="N89"/>
      <c r="O89"/>
      <c r="P89"/>
      <c r="Q89"/>
    </row>
    <row r="90" spans="2:17">
      <c r="B90"/>
      <c r="C90"/>
      <c r="F90"/>
      <c r="G90"/>
      <c r="K90" s="235"/>
      <c r="N90"/>
      <c r="O90"/>
      <c r="P90"/>
      <c r="Q90"/>
    </row>
  </sheetData>
  <sheetProtection password="A5F4" sheet="1" objects="1" scenarios="1" selectLockedCells="1"/>
  <mergeCells count="8">
    <mergeCell ref="B66:C66"/>
    <mergeCell ref="D8:J8"/>
    <mergeCell ref="B15:J15"/>
    <mergeCell ref="A18:A19"/>
    <mergeCell ref="B18:B19"/>
    <mergeCell ref="D18:E18"/>
    <mergeCell ref="H18:H19"/>
    <mergeCell ref="I18:I19"/>
  </mergeCells>
  <dataValidations count="1">
    <dataValidation allowBlank="1" showErrorMessage="1" promptTitle="Modification des quantités" prompt="Vous pouvez diminuer ou augmenter la quantité,._x000d_Si vous désirez supprimer l'aliment, inscrivez 0 (zéro)." sqref="A1:A1048576"/>
  </dataValidations>
  <hyperlinks>
    <hyperlink ref="B66" location="sommaire!A1" display="RETOUR AU SOMMAIRE"/>
    <hyperlink ref="C66"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5"/>
  <sheetViews>
    <sheetView workbookViewId="0">
      <selection activeCell="D5" sqref="D5"/>
    </sheetView>
  </sheetViews>
  <sheetFormatPr baseColWidth="10" defaultRowHeight="15" x14ac:dyDescent="0"/>
  <cols>
    <col min="1" max="1" width="6.33203125" customWidth="1"/>
    <col min="2" max="2" width="34.332031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766</v>
      </c>
      <c r="B1" s="120"/>
      <c r="C1" s="187"/>
      <c r="D1" s="121"/>
      <c r="E1" s="121"/>
      <c r="F1" s="122"/>
      <c r="G1" s="122"/>
      <c r="H1" s="122"/>
      <c r="I1" s="123" t="s">
        <v>101</v>
      </c>
      <c r="J1" s="183" t="s">
        <v>675</v>
      </c>
      <c r="N1"/>
      <c r="O1"/>
      <c r="P1"/>
      <c r="Q1"/>
    </row>
    <row r="2" spans="1:17">
      <c r="A2" s="17"/>
      <c r="B2" s="16" t="s">
        <v>12</v>
      </c>
      <c r="C2" s="188"/>
      <c r="D2" s="17"/>
      <c r="E2" s="17"/>
      <c r="F2" s="18"/>
      <c r="G2" s="18"/>
      <c r="H2" s="17"/>
      <c r="I2" s="17"/>
      <c r="J2" s="17"/>
      <c r="N2"/>
      <c r="O2"/>
      <c r="P2"/>
      <c r="Q2"/>
    </row>
    <row r="3" spans="1:17">
      <c r="A3" s="16" t="s">
        <v>19</v>
      </c>
      <c r="B3" s="16"/>
      <c r="C3" s="188"/>
      <c r="D3" s="15">
        <f>ROUND(F78,0)</f>
        <v>2005</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305</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D3+E76-D11</f>
        <v>305</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20"/>
      <c r="D18" s="481" t="s">
        <v>7</v>
      </c>
      <c r="E18" s="482"/>
      <c r="F18" s="18"/>
      <c r="G18" s="43"/>
      <c r="H18" s="487" t="str">
        <f>A18</f>
        <v>g/cl</v>
      </c>
      <c r="I18" s="489" t="str">
        <f>B18</f>
        <v>Ingrédients</v>
      </c>
      <c r="J18" s="70" t="s">
        <v>7</v>
      </c>
      <c r="M18" s="411">
        <f>100-(D12/((D11+D12)/100))</f>
        <v>84.788029925187033</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242</v>
      </c>
      <c r="B21" s="16"/>
      <c r="C21" s="209"/>
      <c r="D21" s="17"/>
      <c r="E21" s="17"/>
      <c r="F21" s="18"/>
      <c r="G21" s="43"/>
      <c r="H21" s="17"/>
      <c r="I21" s="17"/>
      <c r="J21" s="17"/>
      <c r="L21" s="154"/>
      <c r="P21"/>
      <c r="Q21"/>
    </row>
    <row r="22" spans="1:17">
      <c r="A22" s="438">
        <v>30</v>
      </c>
      <c r="B22" s="2" t="s">
        <v>102</v>
      </c>
      <c r="C22" s="196" t="s">
        <v>673</v>
      </c>
      <c r="D22" s="51">
        <v>229</v>
      </c>
      <c r="E22" s="49">
        <f t="shared" ref="E22:E29" si="0">D22/100*A22</f>
        <v>68.7</v>
      </c>
      <c r="F22" s="18"/>
      <c r="G22" s="43"/>
      <c r="H22" s="55">
        <f t="shared" ref="H22:H29" si="1">IF(E22=0,A22,A22/E22*J22)</f>
        <v>25.436408977556109</v>
      </c>
      <c r="I22" s="2" t="str">
        <f t="shared" ref="I22:I29" si="2">B22</f>
        <v>pain complet</v>
      </c>
      <c r="J22" s="49">
        <f>E22*$M$18%</f>
        <v>58.249376558603494</v>
      </c>
      <c r="M22" s="411"/>
      <c r="Q22"/>
    </row>
    <row r="23" spans="1:17">
      <c r="A23" s="438">
        <v>5</v>
      </c>
      <c r="B23" s="2" t="s">
        <v>0</v>
      </c>
      <c r="C23" s="197" t="s">
        <v>674</v>
      </c>
      <c r="D23" s="51">
        <v>747.3</v>
      </c>
      <c r="E23" s="49">
        <f t="shared" si="0"/>
        <v>37.365000000000002</v>
      </c>
      <c r="F23" s="18"/>
      <c r="G23" s="43"/>
      <c r="H23" s="55">
        <f t="shared" si="1"/>
        <v>4.2394014962593518</v>
      </c>
      <c r="I23" s="2" t="str">
        <f t="shared" si="2"/>
        <v>beurre</v>
      </c>
      <c r="J23" s="49">
        <f t="shared" ref="J23:J29" si="3">E23*$M$18%</f>
        <v>31.681047381546136</v>
      </c>
      <c r="Q23"/>
    </row>
    <row r="24" spans="1:17">
      <c r="A24" s="438">
        <v>10</v>
      </c>
      <c r="B24" s="2" t="s">
        <v>3</v>
      </c>
      <c r="C24" s="197" t="s">
        <v>674</v>
      </c>
      <c r="D24" s="51">
        <v>246</v>
      </c>
      <c r="E24" s="49">
        <f t="shared" si="0"/>
        <v>24.6</v>
      </c>
      <c r="F24" s="18"/>
      <c r="G24" s="43"/>
      <c r="H24" s="55">
        <f t="shared" si="1"/>
        <v>8.4788029925187036</v>
      </c>
      <c r="I24" s="2" t="str">
        <f t="shared" si="2"/>
        <v>confiture</v>
      </c>
      <c r="J24" s="49">
        <f t="shared" si="3"/>
        <v>20.857855361596013</v>
      </c>
      <c r="O24" s="45"/>
      <c r="Q24"/>
    </row>
    <row r="25" spans="1:17">
      <c r="A25" s="438">
        <v>150</v>
      </c>
      <c r="B25" s="2" t="s">
        <v>1</v>
      </c>
      <c r="C25" s="198"/>
      <c r="D25" s="51">
        <v>0</v>
      </c>
      <c r="E25" s="49">
        <f t="shared" si="0"/>
        <v>0</v>
      </c>
      <c r="F25" s="18"/>
      <c r="G25" s="43"/>
      <c r="H25" s="55">
        <f t="shared" si="1"/>
        <v>150</v>
      </c>
      <c r="I25" s="2" t="str">
        <f t="shared" si="2"/>
        <v>café</v>
      </c>
      <c r="J25" s="49">
        <f t="shared" si="3"/>
        <v>0</v>
      </c>
      <c r="O25" s="45"/>
      <c r="Q25"/>
    </row>
    <row r="26" spans="1:17">
      <c r="A26" s="438">
        <v>4</v>
      </c>
      <c r="B26" s="2" t="s">
        <v>2</v>
      </c>
      <c r="C26" s="197" t="s">
        <v>674</v>
      </c>
      <c r="D26" s="51">
        <v>400</v>
      </c>
      <c r="E26" s="49">
        <f t="shared" si="0"/>
        <v>16</v>
      </c>
      <c r="F26" s="18"/>
      <c r="G26" s="43"/>
      <c r="H26" s="55">
        <f t="shared" si="1"/>
        <v>3.3915211970074814</v>
      </c>
      <c r="I26" s="2" t="str">
        <f t="shared" si="2"/>
        <v>sucre</v>
      </c>
      <c r="J26" s="49">
        <f t="shared" si="3"/>
        <v>13.566084788029926</v>
      </c>
      <c r="O26" s="45"/>
      <c r="Q26"/>
    </row>
    <row r="27" spans="1:17">
      <c r="A27" s="438">
        <v>12</v>
      </c>
      <c r="B27" s="2" t="s">
        <v>5</v>
      </c>
      <c r="C27" s="196" t="s">
        <v>673</v>
      </c>
      <c r="D27" s="51">
        <v>161</v>
      </c>
      <c r="E27" s="49">
        <f t="shared" si="0"/>
        <v>19.32</v>
      </c>
      <c r="F27" s="18"/>
      <c r="G27" s="43"/>
      <c r="H27" s="55">
        <f t="shared" si="1"/>
        <v>10.174563591022444</v>
      </c>
      <c r="I27" s="2" t="str">
        <f t="shared" si="2"/>
        <v>crème à café</v>
      </c>
      <c r="J27" s="49">
        <f t="shared" si="3"/>
        <v>16.381047381546136</v>
      </c>
      <c r="O27" s="45"/>
      <c r="Q27"/>
    </row>
    <row r="28" spans="1:17">
      <c r="A28" s="438">
        <v>125</v>
      </c>
      <c r="B28" s="2" t="s">
        <v>123</v>
      </c>
      <c r="C28" s="199" t="s">
        <v>675</v>
      </c>
      <c r="D28" s="51">
        <v>87</v>
      </c>
      <c r="E28" s="49">
        <f t="shared" si="0"/>
        <v>108.75</v>
      </c>
      <c r="F28" s="18"/>
      <c r="G28" s="43"/>
      <c r="H28" s="55">
        <f t="shared" si="1"/>
        <v>105.9850374064838</v>
      </c>
      <c r="I28" s="2" t="str">
        <f t="shared" si="2"/>
        <v>yogourt aux fruits</v>
      </c>
      <c r="J28" s="49">
        <f t="shared" si="3"/>
        <v>92.206982543640905</v>
      </c>
      <c r="O28" s="45"/>
      <c r="Q28"/>
    </row>
    <row r="29" spans="1:17">
      <c r="A29" s="438">
        <v>150</v>
      </c>
      <c r="B29" s="2" t="s">
        <v>103</v>
      </c>
      <c r="C29" s="199" t="s">
        <v>675</v>
      </c>
      <c r="D29" s="51">
        <v>45</v>
      </c>
      <c r="E29" s="49">
        <f t="shared" si="0"/>
        <v>67.5</v>
      </c>
      <c r="F29" s="68"/>
      <c r="G29" s="128"/>
      <c r="H29" s="55">
        <f t="shared" si="1"/>
        <v>127.18204488778055</v>
      </c>
      <c r="I29" s="2" t="str">
        <f t="shared" si="2"/>
        <v>jus d'orange maison</v>
      </c>
      <c r="J29" s="49">
        <f t="shared" si="3"/>
        <v>57.231920199501246</v>
      </c>
      <c r="K29" s="275"/>
      <c r="O29" s="45"/>
      <c r="Q29"/>
    </row>
    <row r="30" spans="1:17">
      <c r="A30" s="42"/>
      <c r="B30" s="131"/>
      <c r="C30" s="200"/>
      <c r="E30" s="130" t="s">
        <v>6</v>
      </c>
      <c r="F30" s="175">
        <f>SUM(E22:E29)</f>
        <v>342.23500000000001</v>
      </c>
      <c r="G30" s="128"/>
      <c r="H30" s="42"/>
      <c r="I30" s="131"/>
      <c r="J30" s="130" t="s">
        <v>6</v>
      </c>
      <c r="K30" s="336">
        <f>SUM(J22:J29)</f>
        <v>290.17431421446383</v>
      </c>
      <c r="L30" s="154"/>
      <c r="O30" s="45"/>
      <c r="Q30"/>
    </row>
    <row r="31" spans="1:17">
      <c r="A31" s="216" t="s">
        <v>225</v>
      </c>
      <c r="B31" s="16"/>
      <c r="C31" s="209"/>
      <c r="D31" s="17"/>
      <c r="E31" s="17"/>
      <c r="F31" s="18"/>
      <c r="G31" s="43"/>
      <c r="H31" s="17"/>
      <c r="I31" s="17"/>
      <c r="J31" s="17"/>
      <c r="L31" s="154"/>
      <c r="P31"/>
      <c r="Q31"/>
    </row>
    <row r="32" spans="1:17">
      <c r="A32" s="66" t="s">
        <v>617</v>
      </c>
      <c r="B32" s="257"/>
      <c r="C32" s="257"/>
      <c r="D32" s="257"/>
      <c r="E32" s="257"/>
      <c r="F32" s="257"/>
      <c r="G32" s="257"/>
      <c r="H32" s="257"/>
      <c r="I32" s="257"/>
      <c r="J32" s="258"/>
      <c r="O32" s="45"/>
      <c r="Q32"/>
    </row>
    <row r="33" spans="1:17">
      <c r="A33" s="439">
        <v>100</v>
      </c>
      <c r="B33" s="2" t="s">
        <v>631</v>
      </c>
      <c r="C33" s="199" t="s">
        <v>675</v>
      </c>
      <c r="D33" s="253">
        <v>116</v>
      </c>
      <c r="E33" s="254">
        <f t="shared" ref="E33:E45" si="4">D33/100*A33</f>
        <v>115.99999999999999</v>
      </c>
      <c r="F33" s="18"/>
      <c r="G33" s="43"/>
      <c r="H33" s="255">
        <f t="shared" ref="H33:H45" si="5">IF(E33=0,A33,A33/E33*J33)</f>
        <v>84.788029925187033</v>
      </c>
      <c r="I33" s="251" t="str">
        <f t="shared" ref="I33:I47" si="6">B33</f>
        <v>pâtes papillons</v>
      </c>
      <c r="J33" s="254">
        <f t="shared" ref="J33:J47" si="7">E33*$M$18%</f>
        <v>98.354114713216944</v>
      </c>
      <c r="O33" s="45"/>
      <c r="Q33"/>
    </row>
    <row r="34" spans="1:17">
      <c r="A34" s="439">
        <v>10</v>
      </c>
      <c r="B34" s="2" t="s">
        <v>630</v>
      </c>
      <c r="C34" s="273" t="s">
        <v>676</v>
      </c>
      <c r="D34" s="253">
        <v>35</v>
      </c>
      <c r="E34" s="49">
        <f t="shared" si="4"/>
        <v>3.5</v>
      </c>
      <c r="F34" s="68"/>
      <c r="G34" s="128"/>
      <c r="H34" s="55">
        <f t="shared" si="5"/>
        <v>8.4788029925187036</v>
      </c>
      <c r="I34" s="2" t="str">
        <f t="shared" si="6"/>
        <v>échalotes</v>
      </c>
      <c r="J34" s="49">
        <f t="shared" si="7"/>
        <v>2.9675810473815463</v>
      </c>
      <c r="O34" s="45"/>
      <c r="Q34"/>
    </row>
    <row r="35" spans="1:17">
      <c r="A35" s="439">
        <v>3</v>
      </c>
      <c r="B35" s="2" t="s">
        <v>362</v>
      </c>
      <c r="C35" s="197" t="s">
        <v>674</v>
      </c>
      <c r="D35" s="253">
        <v>899</v>
      </c>
      <c r="E35" s="49">
        <f t="shared" si="4"/>
        <v>26.97</v>
      </c>
      <c r="F35" s="68"/>
      <c r="G35" s="128"/>
      <c r="H35" s="55">
        <f t="shared" si="5"/>
        <v>2.5436408977556111</v>
      </c>
      <c r="I35" s="2" t="str">
        <f t="shared" si="6"/>
        <v>huile d’olive</v>
      </c>
      <c r="J35" s="49">
        <f t="shared" si="7"/>
        <v>22.867331670822942</v>
      </c>
      <c r="O35" s="45"/>
      <c r="Q35"/>
    </row>
    <row r="36" spans="1:17">
      <c r="A36" s="439">
        <v>50</v>
      </c>
      <c r="B36" s="2" t="s">
        <v>256</v>
      </c>
      <c r="C36" s="196" t="s">
        <v>673</v>
      </c>
      <c r="D36" s="253">
        <v>125</v>
      </c>
      <c r="E36" s="49">
        <f t="shared" si="4"/>
        <v>62.5</v>
      </c>
      <c r="F36" s="68"/>
      <c r="G36" s="128"/>
      <c r="H36" s="55">
        <f t="shared" si="5"/>
        <v>42.394014962593523</v>
      </c>
      <c r="I36" s="2" t="str">
        <f t="shared" si="6"/>
        <v>dés de jambon</v>
      </c>
      <c r="J36" s="49">
        <f t="shared" si="7"/>
        <v>52.992518703241899</v>
      </c>
      <c r="O36" s="45"/>
      <c r="Q36"/>
    </row>
    <row r="37" spans="1:17">
      <c r="A37" s="439">
        <v>125</v>
      </c>
      <c r="B37" s="2" t="s">
        <v>632</v>
      </c>
      <c r="C37" s="273" t="s">
        <v>676</v>
      </c>
      <c r="D37" s="253">
        <v>25</v>
      </c>
      <c r="E37" s="49">
        <f t="shared" si="4"/>
        <v>31.25</v>
      </c>
      <c r="F37" s="68"/>
      <c r="G37" s="128"/>
      <c r="H37" s="55">
        <f t="shared" si="5"/>
        <v>105.9850374064838</v>
      </c>
      <c r="I37" s="2" t="str">
        <f t="shared" si="6"/>
        <v>bolets séchés réhydratés</v>
      </c>
      <c r="J37" s="49">
        <f t="shared" si="7"/>
        <v>26.496259351620949</v>
      </c>
      <c r="O37" s="45"/>
      <c r="Q37"/>
    </row>
    <row r="38" spans="1:17">
      <c r="A38" s="439">
        <v>0.25</v>
      </c>
      <c r="B38" s="2" t="s">
        <v>633</v>
      </c>
      <c r="C38" s="249" t="s">
        <v>677</v>
      </c>
      <c r="D38" s="253">
        <v>352</v>
      </c>
      <c r="E38" s="49">
        <f t="shared" si="4"/>
        <v>0.88</v>
      </c>
      <c r="F38" s="68"/>
      <c r="G38" s="128"/>
      <c r="H38" s="55">
        <f t="shared" si="5"/>
        <v>0.21197007481296762</v>
      </c>
      <c r="I38" s="2" t="str">
        <f t="shared" si="6"/>
        <v xml:space="preserve"> safran</v>
      </c>
      <c r="J38" s="49">
        <f t="shared" si="7"/>
        <v>0.74613466334164591</v>
      </c>
      <c r="O38" s="45"/>
      <c r="Q38"/>
    </row>
    <row r="39" spans="1:17">
      <c r="A39" s="439">
        <f>250/4</f>
        <v>62.5</v>
      </c>
      <c r="B39" s="2" t="s">
        <v>145</v>
      </c>
      <c r="C39" s="197" t="s">
        <v>674</v>
      </c>
      <c r="D39" s="253">
        <v>252</v>
      </c>
      <c r="E39" s="49">
        <f t="shared" si="4"/>
        <v>157.5</v>
      </c>
      <c r="F39" s="68"/>
      <c r="G39" s="128"/>
      <c r="H39" s="55">
        <f t="shared" si="5"/>
        <v>52.992518703241899</v>
      </c>
      <c r="I39" s="2" t="str">
        <f t="shared" si="6"/>
        <v>crème</v>
      </c>
      <c r="J39" s="49">
        <f t="shared" si="7"/>
        <v>133.54114713216958</v>
      </c>
      <c r="O39" s="45"/>
      <c r="Q39"/>
    </row>
    <row r="40" spans="1:17">
      <c r="A40" s="439">
        <v>20</v>
      </c>
      <c r="B40" s="2" t="s">
        <v>634</v>
      </c>
      <c r="C40" s="249" t="s">
        <v>677</v>
      </c>
      <c r="D40" s="253">
        <v>422</v>
      </c>
      <c r="E40" s="49">
        <f t="shared" si="4"/>
        <v>84.399999999999991</v>
      </c>
      <c r="F40" s="68"/>
      <c r="G40" s="128"/>
      <c r="H40" s="55">
        <f t="shared" si="5"/>
        <v>16.957605985037407</v>
      </c>
      <c r="I40" s="2" t="str">
        <f t="shared" si="6"/>
        <v>gruyère râpé</v>
      </c>
      <c r="J40" s="49">
        <f t="shared" si="7"/>
        <v>71.561097256857849</v>
      </c>
      <c r="O40" s="45"/>
      <c r="Q40"/>
    </row>
    <row r="41" spans="1:17">
      <c r="A41" s="439">
        <f>150/4</f>
        <v>37.5</v>
      </c>
      <c r="B41" s="2" t="s">
        <v>439</v>
      </c>
      <c r="C41" s="273" t="s">
        <v>676</v>
      </c>
      <c r="D41" s="253">
        <v>30</v>
      </c>
      <c r="E41" s="49">
        <f t="shared" si="4"/>
        <v>11.25</v>
      </c>
      <c r="F41" s="68"/>
      <c r="G41" s="128"/>
      <c r="H41" s="55">
        <f t="shared" si="5"/>
        <v>31.795511221945141</v>
      </c>
      <c r="I41" s="2" t="str">
        <f t="shared" si="6"/>
        <v>chou frisé</v>
      </c>
      <c r="J41" s="49">
        <f t="shared" si="7"/>
        <v>9.5386533665835422</v>
      </c>
      <c r="O41" s="45"/>
      <c r="Q41"/>
    </row>
    <row r="42" spans="1:17">
      <c r="A42" s="439">
        <v>37.5</v>
      </c>
      <c r="B42" s="2" t="s">
        <v>141</v>
      </c>
      <c r="C42" s="273" t="s">
        <v>676</v>
      </c>
      <c r="D42" s="253">
        <v>31</v>
      </c>
      <c r="E42" s="49">
        <f t="shared" si="4"/>
        <v>11.625</v>
      </c>
      <c r="F42" s="68"/>
      <c r="G42" s="128"/>
      <c r="H42" s="55">
        <f t="shared" si="5"/>
        <v>31.795511221945137</v>
      </c>
      <c r="I42" s="2" t="str">
        <f>B42</f>
        <v>carottes</v>
      </c>
      <c r="J42" s="49">
        <f>E42*$M$18%</f>
        <v>9.8566084788029933</v>
      </c>
      <c r="O42" s="45"/>
      <c r="P42"/>
      <c r="Q42"/>
    </row>
    <row r="43" spans="1:17">
      <c r="A43" s="439">
        <v>12</v>
      </c>
      <c r="B43" s="2" t="s">
        <v>615</v>
      </c>
      <c r="C43" s="197" t="s">
        <v>674</v>
      </c>
      <c r="D43" s="253">
        <v>472</v>
      </c>
      <c r="E43" s="49">
        <f t="shared" si="4"/>
        <v>56.64</v>
      </c>
      <c r="F43" s="68"/>
      <c r="G43" s="128"/>
      <c r="H43" s="55">
        <f t="shared" si="5"/>
        <v>10.174563591022444</v>
      </c>
      <c r="I43" s="2" t="str">
        <f t="shared" si="6"/>
        <v>sauce à salade</v>
      </c>
      <c r="J43" s="49">
        <f t="shared" si="7"/>
        <v>48.023940149625936</v>
      </c>
      <c r="O43" s="45"/>
      <c r="Q43"/>
    </row>
    <row r="44" spans="1:17">
      <c r="A44" s="439">
        <v>1</v>
      </c>
      <c r="B44" s="2" t="s">
        <v>109</v>
      </c>
      <c r="C44" s="197" t="s">
        <v>674</v>
      </c>
      <c r="D44" s="253">
        <v>0</v>
      </c>
      <c r="E44" s="49">
        <f t="shared" si="4"/>
        <v>0</v>
      </c>
      <c r="F44" s="68"/>
      <c r="G44" s="128"/>
      <c r="H44" s="55">
        <f t="shared" si="5"/>
        <v>1</v>
      </c>
      <c r="I44" s="2" t="str">
        <f t="shared" si="6"/>
        <v>sel</v>
      </c>
      <c r="J44" s="49">
        <f t="shared" si="7"/>
        <v>0</v>
      </c>
      <c r="O44" s="45"/>
      <c r="Q44"/>
    </row>
    <row r="45" spans="1:17">
      <c r="A45" s="439">
        <v>0.5</v>
      </c>
      <c r="B45" s="2" t="s">
        <v>116</v>
      </c>
      <c r="C45" s="199" t="s">
        <v>675</v>
      </c>
      <c r="D45" s="253">
        <v>222</v>
      </c>
      <c r="E45" s="49">
        <f t="shared" si="4"/>
        <v>1.1100000000000001</v>
      </c>
      <c r="F45" s="68"/>
      <c r="G45" s="128"/>
      <c r="H45" s="55">
        <f t="shared" si="5"/>
        <v>0.42394014962593518</v>
      </c>
      <c r="I45" s="2" t="str">
        <f t="shared" si="6"/>
        <v>poivre</v>
      </c>
      <c r="J45" s="49">
        <f t="shared" si="7"/>
        <v>0.94114713216957624</v>
      </c>
      <c r="O45" s="45"/>
      <c r="Q45"/>
    </row>
    <row r="46" spans="1:17">
      <c r="A46" s="66" t="s">
        <v>127</v>
      </c>
      <c r="B46" s="63"/>
      <c r="C46" s="202"/>
      <c r="D46" s="63"/>
      <c r="E46" s="64"/>
      <c r="F46" s="18"/>
      <c r="G46" s="43"/>
      <c r="H46" s="65"/>
      <c r="I46" s="63"/>
      <c r="J46" s="67"/>
      <c r="O46" s="45"/>
      <c r="Q46"/>
    </row>
    <row r="47" spans="1:17">
      <c r="A47" s="439">
        <v>120</v>
      </c>
      <c r="B47" s="251" t="s">
        <v>430</v>
      </c>
      <c r="C47" s="273" t="s">
        <v>676</v>
      </c>
      <c r="D47" s="253">
        <v>43</v>
      </c>
      <c r="E47" s="49">
        <f>D47/100*A47</f>
        <v>51.6</v>
      </c>
      <c r="F47" s="18"/>
      <c r="G47" s="43"/>
      <c r="H47" s="55">
        <f>IF(E47=0,A47,A47/E47*J47)</f>
        <v>101.74563591022445</v>
      </c>
      <c r="I47" s="56" t="str">
        <f t="shared" si="6"/>
        <v>pêche</v>
      </c>
      <c r="J47" s="49">
        <f t="shared" si="7"/>
        <v>43.750623441396513</v>
      </c>
      <c r="K47" s="275"/>
      <c r="O47" s="45"/>
      <c r="P47"/>
      <c r="Q47"/>
    </row>
    <row r="48" spans="1:17">
      <c r="A48" s="42"/>
      <c r="B48" s="131"/>
      <c r="C48" s="200"/>
      <c r="E48" s="130" t="s">
        <v>6</v>
      </c>
      <c r="F48" s="138">
        <f>SUM(E33:E47)</f>
        <v>615.22500000000002</v>
      </c>
      <c r="G48" s="128"/>
      <c r="H48" s="42"/>
      <c r="I48" s="131"/>
      <c r="J48" s="130" t="s">
        <v>6</v>
      </c>
      <c r="K48" s="336">
        <f>SUM(J33:J47)</f>
        <v>521.63715710723193</v>
      </c>
      <c r="O48" s="45"/>
      <c r="Q48"/>
    </row>
    <row r="49" spans="1:17" ht="6" customHeight="1">
      <c r="A49" s="17"/>
      <c r="B49" s="17"/>
      <c r="C49" s="188"/>
      <c r="D49" s="68"/>
      <c r="E49" s="17"/>
      <c r="F49" s="18"/>
      <c r="G49" s="43"/>
      <c r="H49" s="17"/>
      <c r="I49" s="17"/>
      <c r="J49" s="17"/>
      <c r="O49" s="45"/>
      <c r="P49"/>
      <c r="Q49"/>
    </row>
    <row r="50" spans="1:17">
      <c r="A50" s="216" t="s">
        <v>228</v>
      </c>
      <c r="B50" s="16"/>
      <c r="C50" s="209"/>
      <c r="D50" s="17"/>
      <c r="E50" s="17"/>
      <c r="F50" s="18"/>
      <c r="G50" s="43"/>
      <c r="H50" s="17"/>
      <c r="I50" s="17"/>
      <c r="J50" s="17"/>
      <c r="L50" s="154"/>
      <c r="P50"/>
      <c r="Q50"/>
    </row>
    <row r="51" spans="1:17">
      <c r="A51" s="438">
        <v>75</v>
      </c>
      <c r="B51" s="2" t="s">
        <v>622</v>
      </c>
      <c r="C51" s="197" t="s">
        <v>674</v>
      </c>
      <c r="D51" s="51">
        <v>328</v>
      </c>
      <c r="E51" s="49">
        <f>D51/100*A51</f>
        <v>245.99999999999997</v>
      </c>
      <c r="F51" s="18"/>
      <c r="G51" s="43"/>
      <c r="H51" s="55">
        <f>IF(E51=0,A51,A51/E51*J51)</f>
        <v>63.591022443890282</v>
      </c>
      <c r="I51" s="2" t="str">
        <f>B51</f>
        <v>baton de glace enrobé de chocolat (75 g)</v>
      </c>
      <c r="J51" s="49">
        <f>E51*$M$18%</f>
        <v>208.57855361596009</v>
      </c>
    </row>
    <row r="52" spans="1:17">
      <c r="A52" s="42"/>
      <c r="B52" s="157"/>
      <c r="C52" s="272"/>
      <c r="E52" s="130" t="s">
        <v>6</v>
      </c>
      <c r="F52" s="314">
        <f>SUM(E51:E51)</f>
        <v>245.99999999999997</v>
      </c>
      <c r="G52" s="140"/>
      <c r="H52" s="42"/>
      <c r="I52" s="131"/>
      <c r="J52" s="130" t="s">
        <v>6</v>
      </c>
      <c r="K52" s="336">
        <f>SUM(J51:J51)</f>
        <v>208.57855361596009</v>
      </c>
      <c r="O52" s="45"/>
      <c r="Q52"/>
    </row>
    <row r="53" spans="1:17">
      <c r="A53" s="216" t="s">
        <v>226</v>
      </c>
      <c r="B53" s="16"/>
      <c r="C53" s="209"/>
      <c r="D53" s="17"/>
      <c r="E53" s="17"/>
      <c r="F53" s="18"/>
      <c r="G53" s="43"/>
      <c r="H53" s="17"/>
      <c r="I53" s="17"/>
      <c r="J53" s="17"/>
      <c r="P53"/>
      <c r="Q53"/>
    </row>
    <row r="54" spans="1:17">
      <c r="A54" s="66" t="s">
        <v>618</v>
      </c>
      <c r="B54" s="257"/>
      <c r="C54" s="257"/>
      <c r="D54" s="257"/>
      <c r="E54" s="257"/>
      <c r="F54" s="257"/>
      <c r="G54" s="257"/>
      <c r="H54" s="257"/>
      <c r="I54" s="257"/>
      <c r="J54" s="258"/>
      <c r="L54" s="154"/>
      <c r="O54" s="45"/>
      <c r="Q54"/>
    </row>
    <row r="55" spans="1:17">
      <c r="A55" s="439">
        <v>100</v>
      </c>
      <c r="B55" s="2" t="s">
        <v>624</v>
      </c>
      <c r="C55" s="273" t="s">
        <v>676</v>
      </c>
      <c r="D55" s="253">
        <v>108</v>
      </c>
      <c r="E55" s="49">
        <f t="shared" ref="E55:E66" si="8">D55/100*A55</f>
        <v>108</v>
      </c>
      <c r="F55" s="68"/>
      <c r="G55" s="128"/>
      <c r="H55" s="55">
        <f t="shared" ref="H55:H66" si="9">IF(E55=0,A55,A55/E55*J55)</f>
        <v>84.788029925187047</v>
      </c>
      <c r="I55" s="2" t="str">
        <f t="shared" ref="I55:I66" si="10">B55</f>
        <v>blancs de poulet</v>
      </c>
      <c r="J55" s="49">
        <f t="shared" ref="J55:J76" si="11">E55*$M$18%</f>
        <v>91.571072319202003</v>
      </c>
      <c r="L55" s="154"/>
      <c r="O55" s="45"/>
      <c r="P55"/>
      <c r="Q55"/>
    </row>
    <row r="56" spans="1:17">
      <c r="A56" s="439">
        <v>5</v>
      </c>
      <c r="B56" s="2" t="s">
        <v>403</v>
      </c>
      <c r="C56" s="273" t="s">
        <v>676</v>
      </c>
      <c r="D56" s="253">
        <v>22</v>
      </c>
      <c r="E56" s="49">
        <f t="shared" si="8"/>
        <v>1.1000000000000001</v>
      </c>
      <c r="F56" s="68"/>
      <c r="G56" s="128"/>
      <c r="H56" s="55">
        <f t="shared" si="9"/>
        <v>4.2394014962593518</v>
      </c>
      <c r="I56" s="2" t="str">
        <f t="shared" si="10"/>
        <v>coriandre</v>
      </c>
      <c r="J56" s="49">
        <f t="shared" si="11"/>
        <v>0.93266832917705744</v>
      </c>
      <c r="O56" s="45"/>
      <c r="P56"/>
      <c r="Q56"/>
    </row>
    <row r="57" spans="1:17">
      <c r="A57" s="439">
        <v>12</v>
      </c>
      <c r="B57" s="2" t="s">
        <v>436</v>
      </c>
      <c r="C57" s="273" t="s">
        <v>676</v>
      </c>
      <c r="D57" s="253">
        <v>17</v>
      </c>
      <c r="E57" s="49">
        <f t="shared" si="8"/>
        <v>2.04</v>
      </c>
      <c r="F57" s="68"/>
      <c r="G57" s="128"/>
      <c r="H57" s="55">
        <f t="shared" si="9"/>
        <v>10.174563591022443</v>
      </c>
      <c r="I57" s="2" t="str">
        <f t="shared" si="10"/>
        <v xml:space="preserve">citron </v>
      </c>
      <c r="J57" s="49">
        <f t="shared" si="11"/>
        <v>1.7296758104738155</v>
      </c>
      <c r="O57" s="45"/>
      <c r="P57"/>
      <c r="Q57"/>
    </row>
    <row r="58" spans="1:17">
      <c r="A58" s="439">
        <v>15</v>
      </c>
      <c r="B58" s="2" t="s">
        <v>554</v>
      </c>
      <c r="C58" s="197" t="s">
        <v>674</v>
      </c>
      <c r="D58" s="253">
        <v>899</v>
      </c>
      <c r="E58" s="49">
        <f t="shared" si="8"/>
        <v>134.85</v>
      </c>
      <c r="F58" s="68"/>
      <c r="G58" s="128"/>
      <c r="H58" s="55">
        <f t="shared" si="9"/>
        <v>12.718204488778056</v>
      </c>
      <c r="I58" s="2" t="str">
        <f t="shared" si="10"/>
        <v xml:space="preserve">huile d’olive </v>
      </c>
      <c r="J58" s="49">
        <f t="shared" si="11"/>
        <v>114.33665835411472</v>
      </c>
      <c r="O58" s="45"/>
      <c r="P58"/>
      <c r="Q58"/>
    </row>
    <row r="59" spans="1:17">
      <c r="A59" s="439">
        <v>3</v>
      </c>
      <c r="B59" s="2" t="s">
        <v>625</v>
      </c>
      <c r="C59" s="196" t="s">
        <v>673</v>
      </c>
      <c r="D59" s="253">
        <v>319</v>
      </c>
      <c r="E59" s="49">
        <f t="shared" si="8"/>
        <v>9.57</v>
      </c>
      <c r="F59" s="68"/>
      <c r="G59" s="128"/>
      <c r="H59" s="55">
        <f t="shared" si="9"/>
        <v>2.5436408977556111</v>
      </c>
      <c r="I59" s="2" t="str">
        <f t="shared" si="10"/>
        <v xml:space="preserve">paprika </v>
      </c>
      <c r="J59" s="49">
        <f t="shared" si="11"/>
        <v>8.1142144638403995</v>
      </c>
      <c r="O59" s="45"/>
      <c r="P59"/>
      <c r="Q59"/>
    </row>
    <row r="60" spans="1:17">
      <c r="A60" s="439">
        <v>3</v>
      </c>
      <c r="B60" s="2" t="s">
        <v>626</v>
      </c>
      <c r="C60" s="199" t="s">
        <v>675</v>
      </c>
      <c r="D60" s="253">
        <v>427</v>
      </c>
      <c r="E60" s="49">
        <f t="shared" si="8"/>
        <v>12.809999999999999</v>
      </c>
      <c r="F60" s="68"/>
      <c r="G60" s="128"/>
      <c r="H60" s="55">
        <f t="shared" si="9"/>
        <v>2.5436408977556111</v>
      </c>
      <c r="I60" s="2" t="str">
        <f t="shared" si="10"/>
        <v xml:space="preserve">cumin en grains </v>
      </c>
      <c r="J60" s="49">
        <f t="shared" si="11"/>
        <v>10.861346633416458</v>
      </c>
      <c r="O60" s="45"/>
      <c r="P60"/>
      <c r="Q60"/>
    </row>
    <row r="61" spans="1:17">
      <c r="A61" s="439">
        <v>3</v>
      </c>
      <c r="B61" s="2" t="s">
        <v>487</v>
      </c>
      <c r="C61" s="276"/>
      <c r="D61" s="253"/>
      <c r="E61" s="49">
        <f t="shared" si="8"/>
        <v>0</v>
      </c>
      <c r="F61" s="68"/>
      <c r="G61" s="128"/>
      <c r="H61" s="55">
        <f t="shared" si="9"/>
        <v>3</v>
      </c>
      <c r="I61" s="2" t="str">
        <f t="shared" si="10"/>
        <v>coriandre en poudre</v>
      </c>
      <c r="J61" s="49">
        <f t="shared" si="11"/>
        <v>0</v>
      </c>
      <c r="O61" s="45"/>
      <c r="P61"/>
      <c r="Q61"/>
    </row>
    <row r="62" spans="1:17">
      <c r="A62" s="439">
        <v>50</v>
      </c>
      <c r="B62" s="2" t="s">
        <v>627</v>
      </c>
      <c r="C62" s="306" t="s">
        <v>676</v>
      </c>
      <c r="D62" s="253">
        <v>110</v>
      </c>
      <c r="E62" s="49">
        <f t="shared" si="8"/>
        <v>55.000000000000007</v>
      </c>
      <c r="F62" s="68"/>
      <c r="G62" s="128"/>
      <c r="H62" s="55">
        <f t="shared" si="9"/>
        <v>42.394014962593516</v>
      </c>
      <c r="I62" s="2" t="str">
        <f t="shared" si="10"/>
        <v>haricots rouges en boîte</v>
      </c>
      <c r="J62" s="49">
        <f t="shared" si="11"/>
        <v>46.633416458852878</v>
      </c>
      <c r="O62" s="45"/>
      <c r="P62"/>
      <c r="Q62"/>
    </row>
    <row r="63" spans="1:17">
      <c r="A63" s="439">
        <v>50</v>
      </c>
      <c r="B63" s="2" t="s">
        <v>628</v>
      </c>
      <c r="C63" s="196" t="s">
        <v>673</v>
      </c>
      <c r="D63" s="253">
        <v>361</v>
      </c>
      <c r="E63" s="49">
        <f t="shared" si="8"/>
        <v>180.5</v>
      </c>
      <c r="F63" s="68"/>
      <c r="G63" s="128"/>
      <c r="H63" s="55">
        <f t="shared" si="9"/>
        <v>42.394014962593523</v>
      </c>
      <c r="I63" s="2" t="str">
        <f t="shared" si="10"/>
        <v>semoule de couscous (sec)</v>
      </c>
      <c r="J63" s="49">
        <f t="shared" si="11"/>
        <v>153.04239401496261</v>
      </c>
      <c r="O63" s="45"/>
      <c r="P63"/>
      <c r="Q63"/>
    </row>
    <row r="64" spans="1:17">
      <c r="A64" s="439">
        <v>5</v>
      </c>
      <c r="B64" s="2" t="s">
        <v>629</v>
      </c>
      <c r="C64" s="197" t="s">
        <v>674</v>
      </c>
      <c r="D64" s="253">
        <v>298</v>
      </c>
      <c r="E64" s="49">
        <f t="shared" si="8"/>
        <v>14.9</v>
      </c>
      <c r="F64" s="68"/>
      <c r="G64" s="128"/>
      <c r="H64" s="55">
        <f t="shared" si="9"/>
        <v>4.2394014962593518</v>
      </c>
      <c r="I64" s="2" t="str">
        <f t="shared" si="10"/>
        <v xml:space="preserve"> raisins secs sultine</v>
      </c>
      <c r="J64" s="49">
        <f t="shared" si="11"/>
        <v>12.633416458852869</v>
      </c>
      <c r="O64" s="45"/>
      <c r="P64"/>
      <c r="Q64"/>
    </row>
    <row r="65" spans="1:17">
      <c r="A65" s="439">
        <v>50</v>
      </c>
      <c r="B65" s="2" t="s">
        <v>202</v>
      </c>
      <c r="C65" s="306" t="s">
        <v>676</v>
      </c>
      <c r="D65" s="253">
        <v>18</v>
      </c>
      <c r="E65" s="49">
        <f t="shared" si="8"/>
        <v>9</v>
      </c>
      <c r="F65" s="68"/>
      <c r="G65" s="128"/>
      <c r="H65" s="55">
        <f t="shared" si="9"/>
        <v>42.394014962593516</v>
      </c>
      <c r="I65" s="2" t="str">
        <f t="shared" si="10"/>
        <v>mesclun</v>
      </c>
      <c r="J65" s="49">
        <f t="shared" si="11"/>
        <v>7.6309226932668333</v>
      </c>
      <c r="O65" s="45"/>
      <c r="P65"/>
      <c r="Q65"/>
    </row>
    <row r="66" spans="1:17">
      <c r="A66" s="439">
        <v>12</v>
      </c>
      <c r="B66" s="2" t="s">
        <v>616</v>
      </c>
      <c r="C66" s="197" t="s">
        <v>674</v>
      </c>
      <c r="D66" s="253">
        <v>472</v>
      </c>
      <c r="E66" s="49">
        <f t="shared" si="8"/>
        <v>56.64</v>
      </c>
      <c r="F66" s="68"/>
      <c r="G66" s="128"/>
      <c r="H66" s="55">
        <f t="shared" si="9"/>
        <v>10.174563591022444</v>
      </c>
      <c r="I66" s="2" t="str">
        <f t="shared" si="10"/>
        <v>salade italienne</v>
      </c>
      <c r="J66" s="49">
        <f t="shared" si="11"/>
        <v>48.023940149625936</v>
      </c>
      <c r="O66" s="45"/>
      <c r="P66"/>
      <c r="Q66"/>
    </row>
    <row r="67" spans="1:17">
      <c r="A67" s="42"/>
      <c r="B67" s="131"/>
      <c r="C67" s="201"/>
      <c r="E67" s="130" t="s">
        <v>6</v>
      </c>
      <c r="F67" s="135">
        <f>SUM(E55:E66)</f>
        <v>584.41</v>
      </c>
      <c r="G67" s="140"/>
      <c r="H67" s="42"/>
      <c r="I67" s="131"/>
      <c r="J67" s="130" t="s">
        <v>6</v>
      </c>
      <c r="K67" s="336">
        <f>SUM(J55:J66)</f>
        <v>495.50972568578561</v>
      </c>
      <c r="L67" s="154"/>
      <c r="O67" s="45"/>
      <c r="Q67"/>
    </row>
    <row r="68" spans="1:17">
      <c r="A68" s="256" t="s">
        <v>621</v>
      </c>
      <c r="B68" s="257"/>
      <c r="C68" s="257"/>
      <c r="D68" s="257"/>
      <c r="E68" s="257"/>
      <c r="F68" s="259"/>
      <c r="G68" s="260"/>
      <c r="H68" s="257"/>
      <c r="I68" s="257"/>
      <c r="J68" s="258"/>
      <c r="L68" s="154"/>
      <c r="O68" s="45"/>
      <c r="Q68"/>
    </row>
    <row r="69" spans="1:17">
      <c r="A69" s="439">
        <v>100</v>
      </c>
      <c r="B69" s="2" t="s">
        <v>619</v>
      </c>
      <c r="C69" s="196" t="s">
        <v>673</v>
      </c>
      <c r="D69" s="253">
        <v>51</v>
      </c>
      <c r="E69" s="49">
        <f t="shared" ref="E69:E74" si="12">D69/100*A69</f>
        <v>51</v>
      </c>
      <c r="F69" s="68"/>
      <c r="G69" s="128"/>
      <c r="H69" s="55">
        <f>IF(E69=0,A69,A69/E69*J69)</f>
        <v>84.788029925187033</v>
      </c>
      <c r="I69" s="2" t="str">
        <f>B69</f>
        <v>jus d'orange</v>
      </c>
      <c r="J69" s="49">
        <f t="shared" si="11"/>
        <v>43.241895261845386</v>
      </c>
      <c r="K69" s="241"/>
      <c r="L69" s="154"/>
      <c r="O69" s="45"/>
      <c r="P69"/>
      <c r="Q69"/>
    </row>
    <row r="70" spans="1:17">
      <c r="A70" s="439">
        <v>30</v>
      </c>
      <c r="B70" s="2" t="s">
        <v>181</v>
      </c>
      <c r="C70" s="306" t="s">
        <v>676</v>
      </c>
      <c r="D70" s="253">
        <v>146</v>
      </c>
      <c r="E70" s="49">
        <f t="shared" si="12"/>
        <v>43.8</v>
      </c>
      <c r="F70" s="68"/>
      <c r="G70" s="128"/>
      <c r="H70" s="55">
        <f t="shared" ref="H70:H73" si="13">IF(E70=0,A70,A70/E70*J70)</f>
        <v>25.436408977556113</v>
      </c>
      <c r="I70" s="2" t="str">
        <f t="shared" ref="I70:I73" si="14">B70</f>
        <v>œufs</v>
      </c>
      <c r="J70" s="49">
        <f t="shared" si="11"/>
        <v>37.137157107231921</v>
      </c>
      <c r="K70" s="241"/>
      <c r="L70" s="154"/>
      <c r="O70" s="45"/>
      <c r="P70"/>
      <c r="Q70"/>
    </row>
    <row r="71" spans="1:17">
      <c r="A71" s="439"/>
      <c r="B71" s="2" t="s">
        <v>620</v>
      </c>
      <c r="C71" s="276"/>
      <c r="D71" s="253"/>
      <c r="E71" s="49">
        <f t="shared" si="12"/>
        <v>0</v>
      </c>
      <c r="F71" s="68"/>
      <c r="G71" s="128"/>
      <c r="H71" s="55">
        <f t="shared" si="13"/>
        <v>0</v>
      </c>
      <c r="I71" s="2" t="str">
        <f t="shared" si="14"/>
        <v>eau de fleur d’oranger</v>
      </c>
      <c r="J71" s="49">
        <f t="shared" si="11"/>
        <v>0</v>
      </c>
      <c r="K71" s="241"/>
      <c r="L71" s="154"/>
      <c r="O71" s="45"/>
      <c r="P71"/>
      <c r="Q71"/>
    </row>
    <row r="72" spans="1:17">
      <c r="A72" s="439">
        <v>25</v>
      </c>
      <c r="B72" s="2" t="s">
        <v>623</v>
      </c>
      <c r="C72" s="197" t="s">
        <v>674</v>
      </c>
      <c r="D72" s="253">
        <v>400</v>
      </c>
      <c r="E72" s="49">
        <f t="shared" si="12"/>
        <v>100</v>
      </c>
      <c r="F72" s="68"/>
      <c r="G72" s="128"/>
      <c r="H72" s="55">
        <f t="shared" si="13"/>
        <v>21.197007481296758</v>
      </c>
      <c r="I72" s="2" t="str">
        <f t="shared" si="14"/>
        <v xml:space="preserve">sucre en poudre </v>
      </c>
      <c r="J72" s="49">
        <f t="shared" si="11"/>
        <v>84.788029925187033</v>
      </c>
      <c r="K72" s="241"/>
      <c r="L72" s="154"/>
      <c r="O72" s="45"/>
      <c r="P72"/>
      <c r="Q72"/>
    </row>
    <row r="73" spans="1:17">
      <c r="A73" s="439">
        <v>6</v>
      </c>
      <c r="B73" s="2" t="s">
        <v>184</v>
      </c>
      <c r="C73" s="196" t="s">
        <v>673</v>
      </c>
      <c r="D73" s="253">
        <v>353</v>
      </c>
      <c r="E73" s="49">
        <f t="shared" si="12"/>
        <v>21.18</v>
      </c>
      <c r="F73" s="68"/>
      <c r="G73" s="128"/>
      <c r="H73" s="55">
        <f t="shared" si="13"/>
        <v>5.0872817955112222</v>
      </c>
      <c r="I73" s="2" t="str">
        <f t="shared" si="14"/>
        <v>maïzena</v>
      </c>
      <c r="J73" s="49">
        <f t="shared" si="11"/>
        <v>17.958104738154614</v>
      </c>
      <c r="K73" s="241"/>
      <c r="L73" s="154"/>
      <c r="O73" s="45"/>
      <c r="P73"/>
      <c r="Q73"/>
    </row>
    <row r="74" spans="1:17">
      <c r="A74" s="439">
        <v>1.5</v>
      </c>
      <c r="B74" s="2" t="s">
        <v>171</v>
      </c>
      <c r="C74" s="306" t="s">
        <v>676</v>
      </c>
      <c r="D74" s="253">
        <v>49</v>
      </c>
      <c r="E74" s="49">
        <f t="shared" si="12"/>
        <v>0.73499999999999999</v>
      </c>
      <c r="F74" s="68"/>
      <c r="G74" s="128"/>
      <c r="H74" s="55">
        <f>IF(E74=0,A74,A74/E74*J74)</f>
        <v>1.2718204488778055</v>
      </c>
      <c r="I74" s="2" t="str">
        <f>B74</f>
        <v>menthe</v>
      </c>
      <c r="J74" s="49">
        <f>E74*$M$18%</f>
        <v>0.62319201995012474</v>
      </c>
      <c r="K74" s="241"/>
      <c r="O74" s="45"/>
      <c r="P74"/>
      <c r="Q74"/>
    </row>
    <row r="75" spans="1:17">
      <c r="A75" s="42"/>
      <c r="B75" s="131"/>
      <c r="C75" s="201"/>
      <c r="E75" s="143" t="s">
        <v>6</v>
      </c>
      <c r="F75" s="175">
        <f>SUM(E69:E74)</f>
        <v>216.71500000000003</v>
      </c>
      <c r="G75" s="25"/>
      <c r="H75" s="42"/>
      <c r="I75" s="131"/>
      <c r="J75" s="143" t="s">
        <v>6</v>
      </c>
      <c r="K75" s="336">
        <f>SUM(J69:J74)</f>
        <v>183.74837905236907</v>
      </c>
      <c r="O75" s="45"/>
      <c r="Q75"/>
    </row>
    <row r="76" spans="1:17">
      <c r="A76" s="54">
        <f>IF(D5="non",0,IF(D5="1 verre",125,250))</f>
        <v>0</v>
      </c>
      <c r="B76" s="2" t="str">
        <f>IF(A76=0,"","vin")</f>
        <v/>
      </c>
      <c r="C76" s="203"/>
      <c r="D76" s="51">
        <v>80</v>
      </c>
      <c r="E76" s="49">
        <f>D76/100*A76</f>
        <v>0</v>
      </c>
      <c r="G76" s="142"/>
      <c r="H76" s="55">
        <f>IF(E76=0,A76,A76/E76*J76)</f>
        <v>0</v>
      </c>
      <c r="I76" s="2" t="str">
        <f>B76</f>
        <v/>
      </c>
      <c r="J76" s="49">
        <f t="shared" si="11"/>
        <v>0</v>
      </c>
      <c r="K76" s="335"/>
      <c r="O76" s="45"/>
      <c r="P76"/>
      <c r="Q76"/>
    </row>
    <row r="77" spans="1:17" ht="6" customHeight="1">
      <c r="A77" s="17"/>
      <c r="B77" s="17"/>
      <c r="C77" s="188"/>
      <c r="D77" s="68"/>
      <c r="E77" s="17"/>
      <c r="F77" s="18"/>
      <c r="G77" s="204"/>
      <c r="H77" s="17"/>
      <c r="I77" s="17"/>
      <c r="J77" s="17"/>
      <c r="K77" s="335"/>
      <c r="P77"/>
      <c r="Q77"/>
    </row>
    <row r="78" spans="1:17">
      <c r="A78" s="17"/>
      <c r="B78" s="17"/>
      <c r="C78" s="188"/>
      <c r="D78" s="69" t="s">
        <v>129</v>
      </c>
      <c r="F78" s="297">
        <f>SUM(F22:F75)</f>
        <v>2004.585</v>
      </c>
      <c r="G78" s="204"/>
      <c r="H78" s="17"/>
      <c r="I78" s="69" t="s">
        <v>129</v>
      </c>
      <c r="K78" s="337">
        <f>SUM(K22:K75)</f>
        <v>1699.6481296758104</v>
      </c>
      <c r="P78"/>
      <c r="Q78"/>
    </row>
    <row r="79" spans="1:17">
      <c r="A79" s="17"/>
      <c r="B79" s="17"/>
      <c r="C79" s="188"/>
      <c r="D79" s="18" t="s">
        <v>130</v>
      </c>
      <c r="E79" s="25"/>
      <c r="F79" s="144">
        <f>F78+E76</f>
        <v>2004.585</v>
      </c>
      <c r="G79" s="43"/>
      <c r="H79" s="42"/>
      <c r="I79" s="18" t="s">
        <v>130</v>
      </c>
      <c r="J79" s="25"/>
      <c r="K79" s="336">
        <f>K78+J76</f>
        <v>1699.6481296758104</v>
      </c>
      <c r="P79"/>
      <c r="Q79"/>
    </row>
    <row r="80" spans="1:17">
      <c r="A80" s="17"/>
      <c r="B80" s="16"/>
      <c r="C80" s="188"/>
      <c r="D80" s="17"/>
      <c r="E80" s="17"/>
      <c r="F80" s="205"/>
      <c r="G80" s="43"/>
      <c r="H80" s="17"/>
      <c r="I80" s="17"/>
      <c r="J80" s="17"/>
      <c r="P80"/>
      <c r="Q80"/>
    </row>
    <row r="81" spans="1:17" ht="19">
      <c r="A81" s="118" t="s">
        <v>100</v>
      </c>
      <c r="B81" s="491" t="s">
        <v>99</v>
      </c>
      <c r="C81" s="491"/>
      <c r="D81" s="17"/>
      <c r="E81" s="17"/>
      <c r="F81" s="18"/>
      <c r="G81" s="18"/>
      <c r="H81" s="17"/>
      <c r="I81" s="17"/>
      <c r="J81" s="17"/>
      <c r="P81"/>
      <c r="Q81"/>
    </row>
    <row r="82" spans="1:17" ht="409" customHeight="1">
      <c r="A82" s="17"/>
      <c r="B82" s="16"/>
      <c r="C82" s="228"/>
      <c r="D82" s="17"/>
      <c r="E82" s="17"/>
      <c r="F82" s="18"/>
      <c r="G82" s="18"/>
      <c r="H82" s="17"/>
      <c r="I82" s="17"/>
      <c r="J82" s="17"/>
      <c r="K82" s="18"/>
      <c r="P82"/>
      <c r="Q82"/>
    </row>
    <row r="83" spans="1:17">
      <c r="A83" s="17"/>
      <c r="B83" s="16"/>
      <c r="C83" s="188"/>
      <c r="D83" s="17"/>
      <c r="E83" s="17"/>
      <c r="F83" s="18"/>
      <c r="G83" s="18"/>
      <c r="H83" s="17"/>
      <c r="I83" s="17"/>
      <c r="J83" s="17"/>
      <c r="P83"/>
      <c r="Q83"/>
    </row>
    <row r="84" spans="1:17">
      <c r="A84" s="17"/>
      <c r="B84" s="16"/>
      <c r="C84" s="188"/>
      <c r="D84" s="17"/>
      <c r="E84" s="17"/>
      <c r="F84" s="18"/>
      <c r="G84" s="18"/>
      <c r="H84" s="17"/>
      <c r="I84" s="17"/>
      <c r="J84" s="17"/>
      <c r="P84"/>
      <c r="Q84"/>
    </row>
    <row r="85" spans="1:17">
      <c r="F85" s="18"/>
      <c r="G85" s="18"/>
      <c r="N85"/>
      <c r="O85"/>
      <c r="P85"/>
      <c r="Q85"/>
    </row>
    <row r="86" spans="1:17">
      <c r="F86" s="206"/>
      <c r="N86"/>
      <c r="O86"/>
      <c r="P86"/>
      <c r="Q86"/>
    </row>
    <row r="87" spans="1:17">
      <c r="B87"/>
      <c r="C87"/>
      <c r="N87"/>
      <c r="O87"/>
      <c r="P87"/>
      <c r="Q87"/>
    </row>
    <row r="88" spans="1:17">
      <c r="B88"/>
      <c r="C88"/>
      <c r="N88"/>
      <c r="O88"/>
      <c r="P88"/>
      <c r="Q88"/>
    </row>
    <row r="89" spans="1:17">
      <c r="B89"/>
      <c r="C89"/>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N100"/>
      <c r="O100"/>
      <c r="P100"/>
      <c r="Q100"/>
    </row>
    <row r="101" spans="2:17">
      <c r="B101"/>
      <c r="C101"/>
      <c r="F101"/>
      <c r="G101"/>
      <c r="K101" s="235"/>
      <c r="N101"/>
      <c r="O101"/>
      <c r="P101"/>
      <c r="Q101"/>
    </row>
    <row r="102" spans="2:17">
      <c r="B102"/>
      <c r="C102"/>
      <c r="F102"/>
      <c r="G102"/>
      <c r="K102" s="235"/>
      <c r="N102"/>
      <c r="O102"/>
      <c r="P102"/>
      <c r="Q102"/>
    </row>
    <row r="103" spans="2:17">
      <c r="B103"/>
      <c r="C103"/>
      <c r="F103"/>
      <c r="G103"/>
      <c r="K103" s="235"/>
      <c r="N103"/>
      <c r="O103"/>
      <c r="P103"/>
      <c r="Q103"/>
    </row>
    <row r="104" spans="2:17">
      <c r="B104"/>
      <c r="C104"/>
      <c r="F104"/>
      <c r="G104"/>
      <c r="K104" s="235"/>
      <c r="N104"/>
      <c r="O104"/>
      <c r="P104"/>
      <c r="Q104"/>
    </row>
    <row r="105" spans="2:17">
      <c r="B105"/>
      <c r="C105"/>
      <c r="F105"/>
      <c r="G105"/>
      <c r="K105" s="235"/>
      <c r="N105"/>
      <c r="O105"/>
      <c r="P105"/>
      <c r="Q105"/>
    </row>
  </sheetData>
  <sheetProtection password="A5F4" sheet="1" objects="1" scenarios="1" selectLockedCells="1"/>
  <mergeCells count="8">
    <mergeCell ref="B81:C81"/>
    <mergeCell ref="D8:J8"/>
    <mergeCell ref="B15:J15"/>
    <mergeCell ref="A18:A19"/>
    <mergeCell ref="B18:B19"/>
    <mergeCell ref="D18:E18"/>
    <mergeCell ref="H18:H19"/>
    <mergeCell ref="I18:I19"/>
  </mergeCells>
  <hyperlinks>
    <hyperlink ref="B81" location="sommaire!A1" display="RETOUR AU SOMMAIRE"/>
    <hyperlink ref="C81"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
  <sheetViews>
    <sheetView workbookViewId="0">
      <selection activeCell="D5" sqref="D5"/>
    </sheetView>
  </sheetViews>
  <sheetFormatPr baseColWidth="10" defaultRowHeight="15" x14ac:dyDescent="0"/>
  <cols>
    <col min="1" max="1" width="6.33203125" customWidth="1"/>
    <col min="2" max="2" width="34.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33203125" style="335" customWidth="1"/>
    <col min="12" max="12" width="166.33203125" style="242" customWidth="1"/>
    <col min="13" max="13" width="3.5" style="407" customWidth="1"/>
    <col min="14" max="14" width="3.33203125" style="44" customWidth="1"/>
    <col min="15" max="17" width="10.83203125" style="44"/>
  </cols>
  <sheetData>
    <row r="1" spans="1:17" ht="19">
      <c r="A1" s="207" t="s">
        <v>765</v>
      </c>
      <c r="B1" s="120"/>
      <c r="C1" s="187"/>
      <c r="D1" s="121"/>
      <c r="E1" s="121"/>
      <c r="F1" s="122"/>
      <c r="G1" s="122"/>
      <c r="H1" s="122"/>
      <c r="I1" s="123" t="s">
        <v>101</v>
      </c>
      <c r="J1" s="266" t="s">
        <v>676</v>
      </c>
      <c r="K1" s="228"/>
      <c r="N1"/>
      <c r="O1"/>
      <c r="P1"/>
      <c r="Q1"/>
    </row>
    <row r="2" spans="1:17">
      <c r="A2" s="17"/>
      <c r="B2" s="16" t="s">
        <v>12</v>
      </c>
      <c r="C2" s="188"/>
      <c r="D2" s="17"/>
      <c r="E2" s="17"/>
      <c r="F2" s="18"/>
      <c r="G2" s="18"/>
      <c r="H2" s="17"/>
      <c r="I2" s="17"/>
      <c r="J2" s="17"/>
      <c r="N2"/>
      <c r="O2"/>
      <c r="P2"/>
      <c r="Q2"/>
    </row>
    <row r="3" spans="1:17">
      <c r="A3" s="16" t="s">
        <v>19</v>
      </c>
      <c r="B3" s="16"/>
      <c r="C3" s="188"/>
      <c r="D3" s="15">
        <f>ROUND(F71,0)</f>
        <v>2001</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K6" s="339"/>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40"/>
      <c r="L8" s="243"/>
      <c r="N8"/>
      <c r="O8"/>
      <c r="P8"/>
      <c r="Q8"/>
    </row>
    <row r="9" spans="1:17" ht="6" customHeight="1">
      <c r="A9" s="17"/>
      <c r="B9" s="16"/>
      <c r="C9" s="188"/>
      <c r="D9" s="18"/>
      <c r="E9" s="17"/>
      <c r="F9" s="18"/>
      <c r="G9" s="18"/>
      <c r="H9" s="17"/>
      <c r="I9" s="17"/>
      <c r="J9" s="17"/>
      <c r="K9" s="31"/>
      <c r="N9"/>
      <c r="O9"/>
      <c r="P9"/>
      <c r="Q9"/>
    </row>
    <row r="10" spans="1:17">
      <c r="A10" s="17"/>
      <c r="B10" s="26" t="s">
        <v>14</v>
      </c>
      <c r="C10" s="190"/>
      <c r="D10" s="28"/>
      <c r="E10" s="28"/>
      <c r="F10" s="133"/>
      <c r="G10" s="133"/>
      <c r="H10" s="28"/>
      <c r="I10" s="28"/>
      <c r="J10" s="29"/>
      <c r="K10" s="31"/>
      <c r="N10"/>
      <c r="O10"/>
      <c r="P10"/>
      <c r="Q10"/>
    </row>
    <row r="11" spans="1:17">
      <c r="A11" s="17"/>
      <c r="B11" s="30" t="s">
        <v>15</v>
      </c>
      <c r="C11" s="191"/>
      <c r="D11" s="15">
        <f>D7+D6</f>
        <v>1700</v>
      </c>
      <c r="E11" s="32" t="s">
        <v>7</v>
      </c>
      <c r="F11" s="31"/>
      <c r="G11" s="31"/>
      <c r="H11" s="33"/>
      <c r="I11" s="33"/>
      <c r="J11" s="34"/>
      <c r="K11" s="31"/>
      <c r="N11"/>
      <c r="O11"/>
      <c r="P11"/>
      <c r="Q11"/>
    </row>
    <row r="12" spans="1:17">
      <c r="A12" s="17"/>
      <c r="B12" s="30" t="s">
        <v>16</v>
      </c>
      <c r="C12" s="191"/>
      <c r="D12" s="23">
        <f>ABS(M13)</f>
        <v>301</v>
      </c>
      <c r="E12" s="32" t="s">
        <v>7</v>
      </c>
      <c r="F12" s="32" t="str">
        <f>IF(M13&gt;0,d!A44,d!A45)</f>
        <v>de moins que les menus Pan Metron du jour</v>
      </c>
      <c r="G12" s="31"/>
      <c r="H12" s="33"/>
      <c r="I12" s="33"/>
      <c r="J12" s="34"/>
      <c r="K12" s="32"/>
      <c r="N12"/>
      <c r="O12"/>
      <c r="P12"/>
      <c r="Q12"/>
    </row>
    <row r="13" spans="1:17" ht="13" customHeight="1">
      <c r="A13" s="24"/>
      <c r="B13" s="35"/>
      <c r="C13" s="192"/>
      <c r="D13" s="37"/>
      <c r="E13" s="1"/>
      <c r="F13" s="38" t="str">
        <f>IF(D5="non","",d!A46)</f>
        <v/>
      </c>
      <c r="G13" s="39"/>
      <c r="H13" s="38"/>
      <c r="I13" s="38"/>
      <c r="J13" s="40"/>
      <c r="K13" s="33"/>
      <c r="M13" s="408">
        <f>D3+E69-D11</f>
        <v>301</v>
      </c>
      <c r="N13"/>
      <c r="O13"/>
      <c r="P13"/>
      <c r="Q13"/>
    </row>
    <row r="14" spans="1:17" ht="8" customHeight="1">
      <c r="A14" s="24"/>
      <c r="B14" s="41"/>
      <c r="C14" s="193"/>
      <c r="D14" s="19"/>
      <c r="E14" s="42"/>
      <c r="F14" s="43"/>
      <c r="G14" s="43"/>
      <c r="H14" s="42"/>
      <c r="I14" s="42"/>
      <c r="J14" s="42"/>
      <c r="K14" s="31"/>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341"/>
      <c r="L15" s="244"/>
      <c r="M15" s="409"/>
      <c r="N15"/>
      <c r="O15"/>
      <c r="P15"/>
      <c r="Q15"/>
    </row>
    <row r="16" spans="1:17" ht="12" customHeight="1">
      <c r="A16" s="17"/>
      <c r="B16" s="22"/>
      <c r="C16" s="194"/>
      <c r="D16" s="22"/>
      <c r="E16" s="22"/>
      <c r="F16" s="134"/>
      <c r="G16" s="134"/>
      <c r="H16" s="22"/>
      <c r="I16" s="22"/>
      <c r="J16" s="22"/>
      <c r="K16" s="134"/>
      <c r="L16" s="244"/>
      <c r="N16"/>
      <c r="O16"/>
      <c r="P16"/>
      <c r="Q16"/>
    </row>
    <row r="17" spans="1:17" ht="17" customHeight="1">
      <c r="A17" s="60" t="s">
        <v>24</v>
      </c>
      <c r="B17" s="61"/>
      <c r="C17" s="195"/>
      <c r="D17" s="61"/>
      <c r="E17" s="62"/>
      <c r="F17" s="134"/>
      <c r="G17" s="141"/>
      <c r="H17" s="57" t="s">
        <v>36</v>
      </c>
      <c r="I17" s="58"/>
      <c r="J17" s="59"/>
      <c r="K17" s="134"/>
      <c r="L17" s="244"/>
      <c r="M17" s="269" t="s">
        <v>133</v>
      </c>
      <c r="O17" s="148"/>
      <c r="Q17"/>
    </row>
    <row r="18" spans="1:17">
      <c r="A18" s="485" t="s">
        <v>11</v>
      </c>
      <c r="B18" s="483" t="s">
        <v>227</v>
      </c>
      <c r="C18" s="321"/>
      <c r="D18" s="481" t="s">
        <v>7</v>
      </c>
      <c r="E18" s="482"/>
      <c r="F18" s="18"/>
      <c r="G18" s="43"/>
      <c r="H18" s="487" t="str">
        <f>A18</f>
        <v>g/cl</v>
      </c>
      <c r="I18" s="489" t="str">
        <f>B18</f>
        <v>Ingrédients</v>
      </c>
      <c r="J18" s="70" t="s">
        <v>7</v>
      </c>
      <c r="M18" s="411">
        <f>100-(D12/((D11+D12)/100))</f>
        <v>84.957521239380313</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243</v>
      </c>
      <c r="B21" s="16"/>
      <c r="C21" s="209"/>
      <c r="D21" s="17"/>
      <c r="E21" s="17"/>
      <c r="F21" s="18"/>
      <c r="G21" s="43"/>
      <c r="H21" s="17"/>
      <c r="I21" s="17"/>
      <c r="J21" s="17"/>
      <c r="L21" s="154"/>
      <c r="P21"/>
      <c r="Q21"/>
    </row>
    <row r="22" spans="1:17">
      <c r="A22" s="438">
        <v>60</v>
      </c>
      <c r="B22" s="2" t="s">
        <v>134</v>
      </c>
      <c r="C22" s="185" t="s">
        <v>676</v>
      </c>
      <c r="D22" s="51">
        <v>134</v>
      </c>
      <c r="E22" s="49">
        <f t="shared" ref="E22:E28" si="0">D22/100*A22</f>
        <v>80.400000000000006</v>
      </c>
      <c r="F22" s="18"/>
      <c r="G22" s="43"/>
      <c r="H22" s="55">
        <f t="shared" ref="H22:H28" si="1">IF(E22=0,A22,A22/E22*J22)</f>
        <v>50.974512743628182</v>
      </c>
      <c r="I22" s="2" t="str">
        <f t="shared" ref="I22:I28" si="2">B22</f>
        <v>œuf à la coque</v>
      </c>
      <c r="J22" s="49">
        <f>E22*$M$18%</f>
        <v>68.305847076461774</v>
      </c>
      <c r="M22" s="411"/>
      <c r="Q22"/>
    </row>
    <row r="23" spans="1:17">
      <c r="A23" s="438">
        <v>0.5</v>
      </c>
      <c r="B23" s="2" t="s">
        <v>109</v>
      </c>
      <c r="C23" s="197" t="s">
        <v>674</v>
      </c>
      <c r="D23" s="51">
        <v>0</v>
      </c>
      <c r="E23" s="49">
        <f t="shared" si="0"/>
        <v>0</v>
      </c>
      <c r="F23" s="18"/>
      <c r="G23" s="43"/>
      <c r="H23" s="55">
        <f t="shared" si="1"/>
        <v>0.5</v>
      </c>
      <c r="I23" s="2" t="str">
        <f t="shared" si="2"/>
        <v>sel</v>
      </c>
      <c r="J23" s="49">
        <f t="shared" ref="J23:J28" si="3">E23*$M$18%</f>
        <v>0</v>
      </c>
      <c r="Q23"/>
    </row>
    <row r="24" spans="1:17">
      <c r="A24" s="438">
        <v>40</v>
      </c>
      <c r="B24" s="2" t="s">
        <v>102</v>
      </c>
      <c r="C24" s="196" t="s">
        <v>673</v>
      </c>
      <c r="D24" s="51">
        <v>229</v>
      </c>
      <c r="E24" s="49">
        <f t="shared" si="0"/>
        <v>91.6</v>
      </c>
      <c r="F24" s="18"/>
      <c r="G24" s="43"/>
      <c r="H24" s="55">
        <f t="shared" si="1"/>
        <v>33.983008495752131</v>
      </c>
      <c r="I24" s="2" t="str">
        <f t="shared" si="2"/>
        <v>pain complet</v>
      </c>
      <c r="J24" s="49">
        <f t="shared" si="3"/>
        <v>77.821089455272372</v>
      </c>
      <c r="O24" s="45"/>
      <c r="Q24"/>
    </row>
    <row r="25" spans="1:17">
      <c r="A25" s="438">
        <v>125</v>
      </c>
      <c r="B25" s="2" t="s">
        <v>137</v>
      </c>
      <c r="C25" s="185" t="s">
        <v>676</v>
      </c>
      <c r="D25" s="51">
        <v>71</v>
      </c>
      <c r="E25" s="49">
        <f t="shared" si="0"/>
        <v>88.75</v>
      </c>
      <c r="F25" s="18"/>
      <c r="G25" s="43"/>
      <c r="H25" s="55">
        <f t="shared" si="1"/>
        <v>106.19690154922539</v>
      </c>
      <c r="I25" s="2" t="str">
        <f t="shared" si="2"/>
        <v>fromage blanc 20%</v>
      </c>
      <c r="J25" s="49">
        <f t="shared" si="3"/>
        <v>75.399800099950028</v>
      </c>
      <c r="O25" s="45"/>
      <c r="Q25"/>
    </row>
    <row r="26" spans="1:17">
      <c r="A26" s="438">
        <v>100</v>
      </c>
      <c r="B26" s="2" t="s">
        <v>136</v>
      </c>
      <c r="C26" s="199" t="s">
        <v>675</v>
      </c>
      <c r="D26" s="51">
        <v>67</v>
      </c>
      <c r="E26" s="49">
        <f t="shared" si="0"/>
        <v>67</v>
      </c>
      <c r="F26" s="18"/>
      <c r="G26" s="43"/>
      <c r="H26" s="55">
        <f t="shared" si="1"/>
        <v>84.957521239380327</v>
      </c>
      <c r="I26" s="2" t="str">
        <f t="shared" si="2"/>
        <v>salade de fruits frais</v>
      </c>
      <c r="J26" s="49">
        <f t="shared" si="3"/>
        <v>56.921539230384816</v>
      </c>
      <c r="O26" s="45"/>
      <c r="Q26"/>
    </row>
    <row r="27" spans="1:17">
      <c r="A27" s="438">
        <v>150</v>
      </c>
      <c r="B27" s="2" t="s">
        <v>135</v>
      </c>
      <c r="C27" s="203"/>
      <c r="D27" s="51">
        <v>0</v>
      </c>
      <c r="E27" s="49">
        <f t="shared" si="0"/>
        <v>0</v>
      </c>
      <c r="F27" s="18"/>
      <c r="G27" s="43"/>
      <c r="H27" s="55">
        <f t="shared" si="1"/>
        <v>150</v>
      </c>
      <c r="I27" s="2" t="str">
        <f t="shared" si="2"/>
        <v>thé</v>
      </c>
      <c r="J27" s="49">
        <f t="shared" si="3"/>
        <v>0</v>
      </c>
      <c r="O27" s="45"/>
      <c r="Q27"/>
    </row>
    <row r="28" spans="1:17">
      <c r="A28" s="438">
        <v>12</v>
      </c>
      <c r="B28" s="2" t="s">
        <v>2</v>
      </c>
      <c r="C28" s="197" t="s">
        <v>674</v>
      </c>
      <c r="D28" s="51">
        <v>400</v>
      </c>
      <c r="E28" s="49">
        <f t="shared" si="0"/>
        <v>48</v>
      </c>
      <c r="F28" s="18"/>
      <c r="G28" s="43"/>
      <c r="H28" s="55">
        <f t="shared" si="1"/>
        <v>10.194902548725638</v>
      </c>
      <c r="I28" s="2" t="str">
        <f t="shared" si="2"/>
        <v>sucre</v>
      </c>
      <c r="J28" s="49">
        <f t="shared" si="3"/>
        <v>40.779610194902553</v>
      </c>
      <c r="O28" s="45"/>
      <c r="Q28"/>
    </row>
    <row r="29" spans="1:17">
      <c r="A29" s="42"/>
      <c r="B29" s="131"/>
      <c r="C29" s="200"/>
      <c r="E29" s="130" t="s">
        <v>6</v>
      </c>
      <c r="F29" s="135">
        <f>SUM(E22:E28)</f>
        <v>375.75</v>
      </c>
      <c r="G29" s="128"/>
      <c r="H29" s="42"/>
      <c r="I29" s="131"/>
      <c r="J29" s="130" t="s">
        <v>6</v>
      </c>
      <c r="K29" s="336">
        <f>SUM(J22:J28)</f>
        <v>319.22788605697156</v>
      </c>
      <c r="O29" s="45"/>
      <c r="Q29"/>
    </row>
    <row r="30" spans="1:17">
      <c r="A30" s="216" t="s">
        <v>225</v>
      </c>
      <c r="B30" s="16"/>
      <c r="C30" s="209"/>
      <c r="D30" s="17"/>
      <c r="E30" s="17"/>
      <c r="F30" s="18"/>
      <c r="G30" s="43"/>
      <c r="H30" s="17"/>
      <c r="I30" s="17"/>
      <c r="J30" s="17"/>
      <c r="L30" s="154"/>
      <c r="P30"/>
      <c r="Q30"/>
    </row>
    <row r="31" spans="1:17">
      <c r="A31" s="66" t="s">
        <v>636</v>
      </c>
      <c r="B31" s="257"/>
      <c r="C31" s="257"/>
      <c r="D31" s="257"/>
      <c r="E31" s="257"/>
      <c r="F31" s="257"/>
      <c r="G31" s="257"/>
      <c r="H31" s="257"/>
      <c r="I31" s="257"/>
      <c r="J31" s="258"/>
      <c r="L31" s="154"/>
      <c r="O31" s="45"/>
      <c r="Q31"/>
    </row>
    <row r="32" spans="1:17">
      <c r="A32" s="439">
        <f>165/4</f>
        <v>41.25</v>
      </c>
      <c r="B32" s="2" t="s">
        <v>139</v>
      </c>
      <c r="C32" s="185" t="s">
        <v>676</v>
      </c>
      <c r="D32" s="253">
        <v>30</v>
      </c>
      <c r="E32" s="254">
        <f t="shared" ref="E32:E38" si="4">D32/100*A32</f>
        <v>12.375</v>
      </c>
      <c r="F32" s="18"/>
      <c r="G32" s="43"/>
      <c r="H32" s="255">
        <f t="shared" ref="H32:H38" si="5">IF(E32=0,A32,A32/E32*J32)</f>
        <v>35.044977511244383</v>
      </c>
      <c r="I32" s="251" t="str">
        <f t="shared" ref="I32:I37" si="6">B32</f>
        <v>poireau</v>
      </c>
      <c r="J32" s="254">
        <f t="shared" ref="J32:J38" si="7">E32*$M$18%</f>
        <v>10.513493253373314</v>
      </c>
      <c r="O32" s="45"/>
      <c r="Q32"/>
    </row>
    <row r="33" spans="1:17">
      <c r="A33" s="439">
        <v>100</v>
      </c>
      <c r="B33" s="2" t="s">
        <v>800</v>
      </c>
      <c r="C33" s="199" t="s">
        <v>675</v>
      </c>
      <c r="D33" s="253">
        <v>332</v>
      </c>
      <c r="E33" s="49">
        <f t="shared" si="4"/>
        <v>332</v>
      </c>
      <c r="F33" s="68"/>
      <c r="G33" s="128"/>
      <c r="H33" s="55">
        <f t="shared" si="5"/>
        <v>84.957521239380327</v>
      </c>
      <c r="I33" s="2" t="str">
        <f t="shared" si="6"/>
        <v xml:space="preserve"> lentilles rouges</v>
      </c>
      <c r="J33" s="49">
        <f t="shared" si="7"/>
        <v>282.05897051474267</v>
      </c>
      <c r="K33" s="241"/>
      <c r="O33" s="45"/>
      <c r="Q33"/>
    </row>
    <row r="34" spans="1:17">
      <c r="A34" s="439">
        <v>50</v>
      </c>
      <c r="B34" s="2" t="s">
        <v>571</v>
      </c>
      <c r="C34" s="185" t="s">
        <v>676</v>
      </c>
      <c r="D34" s="253">
        <v>5</v>
      </c>
      <c r="E34" s="49">
        <f t="shared" si="4"/>
        <v>2.5</v>
      </c>
      <c r="F34" s="68"/>
      <c r="G34" s="128"/>
      <c r="H34" s="55">
        <f t="shared" si="5"/>
        <v>42.478760619690163</v>
      </c>
      <c r="I34" s="2" t="str">
        <f t="shared" si="6"/>
        <v xml:space="preserve"> bouillon de légumes</v>
      </c>
      <c r="J34" s="49">
        <f t="shared" si="7"/>
        <v>2.1239380309845082</v>
      </c>
      <c r="K34" s="241"/>
      <c r="O34" s="45"/>
      <c r="Q34"/>
    </row>
    <row r="35" spans="1:17">
      <c r="A35" s="439">
        <f>150/4</f>
        <v>37.5</v>
      </c>
      <c r="B35" s="2" t="s">
        <v>801</v>
      </c>
      <c r="C35" s="197" t="s">
        <v>674</v>
      </c>
      <c r="D35" s="253">
        <v>323</v>
      </c>
      <c r="E35" s="49">
        <f t="shared" si="4"/>
        <v>121.125</v>
      </c>
      <c r="F35" s="68"/>
      <c r="G35" s="128"/>
      <c r="H35" s="55">
        <f t="shared" si="5"/>
        <v>31.859070464767619</v>
      </c>
      <c r="I35" s="2" t="str">
        <f t="shared" si="6"/>
        <v>crème 30%</v>
      </c>
      <c r="J35" s="49">
        <f t="shared" si="7"/>
        <v>102.90479760119941</v>
      </c>
      <c r="K35" s="241"/>
      <c r="O35" s="45"/>
      <c r="Q35"/>
    </row>
    <row r="36" spans="1:17">
      <c r="A36" s="439">
        <v>60</v>
      </c>
      <c r="B36" s="2" t="s">
        <v>637</v>
      </c>
      <c r="C36" s="185" t="s">
        <v>676</v>
      </c>
      <c r="D36" s="253">
        <v>146</v>
      </c>
      <c r="E36" s="49">
        <f t="shared" si="4"/>
        <v>87.6</v>
      </c>
      <c r="F36" s="68"/>
      <c r="G36" s="128"/>
      <c r="H36" s="55">
        <f t="shared" si="5"/>
        <v>50.974512743628189</v>
      </c>
      <c r="I36" s="2" t="str">
        <f t="shared" si="6"/>
        <v>4 œufs</v>
      </c>
      <c r="J36" s="49">
        <f t="shared" si="7"/>
        <v>74.42278860569715</v>
      </c>
      <c r="K36" s="241"/>
      <c r="O36" s="45"/>
      <c r="Q36"/>
    </row>
    <row r="37" spans="1:17">
      <c r="A37" s="439">
        <v>75</v>
      </c>
      <c r="B37" s="2" t="s">
        <v>638</v>
      </c>
      <c r="C37" s="185" t="s">
        <v>676</v>
      </c>
      <c r="D37" s="253">
        <v>30</v>
      </c>
      <c r="E37" s="49">
        <f t="shared" si="4"/>
        <v>22.5</v>
      </c>
      <c r="F37" s="68"/>
      <c r="G37" s="128"/>
      <c r="H37" s="55">
        <f t="shared" si="5"/>
        <v>63.718140929535238</v>
      </c>
      <c r="I37" s="2" t="str">
        <f t="shared" si="6"/>
        <v>300 g de carottes</v>
      </c>
      <c r="J37" s="49">
        <f t="shared" si="7"/>
        <v>19.11544227886057</v>
      </c>
      <c r="K37" s="241"/>
      <c r="O37" s="45"/>
      <c r="Q37"/>
    </row>
    <row r="38" spans="1:17">
      <c r="A38" s="439">
        <v>12</v>
      </c>
      <c r="B38" s="2" t="s">
        <v>639</v>
      </c>
      <c r="C38" s="197" t="s">
        <v>674</v>
      </c>
      <c r="D38" s="253">
        <v>446</v>
      </c>
      <c r="E38" s="49">
        <f t="shared" si="4"/>
        <v>53.519999999999996</v>
      </c>
      <c r="F38" s="68"/>
      <c r="G38" s="128"/>
      <c r="H38" s="55">
        <f t="shared" si="5"/>
        <v>10.194902548725638</v>
      </c>
      <c r="I38" s="2" t="str">
        <f>B38</f>
        <v>sauce salade française</v>
      </c>
      <c r="J38" s="49">
        <f t="shared" si="7"/>
        <v>45.469265367316346</v>
      </c>
      <c r="K38" s="241"/>
      <c r="O38" s="45"/>
      <c r="Q38"/>
    </row>
    <row r="39" spans="1:17">
      <c r="A39" s="42"/>
      <c r="B39" s="131"/>
      <c r="C39" s="200"/>
      <c r="E39" s="130" t="s">
        <v>6</v>
      </c>
      <c r="F39" s="138">
        <f>SUM(E32:E38)</f>
        <v>631.62</v>
      </c>
      <c r="G39" s="128"/>
      <c r="H39" s="42"/>
      <c r="I39" s="131"/>
      <c r="J39" s="130" t="s">
        <v>6</v>
      </c>
      <c r="K39" s="336">
        <f>SUM(J32:J38)</f>
        <v>536.60869565217388</v>
      </c>
      <c r="O39" s="45"/>
      <c r="Q39"/>
    </row>
    <row r="40" spans="1:17" ht="6" customHeight="1">
      <c r="A40" s="17"/>
      <c r="B40" s="17"/>
      <c r="C40" s="188"/>
      <c r="D40" s="68"/>
      <c r="E40" s="17"/>
      <c r="F40" s="18"/>
      <c r="G40" s="43"/>
      <c r="H40" s="17"/>
      <c r="I40" s="17"/>
      <c r="J40" s="17"/>
      <c r="O40" s="45"/>
      <c r="P40"/>
      <c r="Q40"/>
    </row>
    <row r="41" spans="1:17">
      <c r="A41" s="216" t="s">
        <v>228</v>
      </c>
      <c r="B41" s="16"/>
      <c r="C41" s="209"/>
      <c r="D41" s="17"/>
      <c r="E41" s="17"/>
      <c r="F41" s="18"/>
      <c r="G41" s="43"/>
      <c r="H41" s="17"/>
      <c r="I41" s="17"/>
      <c r="J41" s="17"/>
      <c r="P41"/>
      <c r="Q41"/>
    </row>
    <row r="42" spans="1:17">
      <c r="A42" s="438">
        <v>140</v>
      </c>
      <c r="B42" s="2" t="s">
        <v>254</v>
      </c>
      <c r="C42" s="185" t="s">
        <v>676</v>
      </c>
      <c r="D42" s="51">
        <v>32</v>
      </c>
      <c r="E42" s="49">
        <f>D42/100*A42</f>
        <v>44.800000000000004</v>
      </c>
      <c r="F42" s="18"/>
      <c r="G42" s="43"/>
      <c r="H42" s="55">
        <f>IF(E42=0,A42,A42/E42*J42)</f>
        <v>118.94052973513243</v>
      </c>
      <c r="I42" s="2" t="str">
        <f>B42</f>
        <v>pamplemousse rose</v>
      </c>
      <c r="J42" s="49">
        <f>E42*$M$18%</f>
        <v>38.060969515242384</v>
      </c>
    </row>
    <row r="43" spans="1:17">
      <c r="A43" s="438">
        <v>8</v>
      </c>
      <c r="B43" s="2" t="s">
        <v>2</v>
      </c>
      <c r="C43" s="197" t="s">
        <v>674</v>
      </c>
      <c r="D43" s="51">
        <v>400</v>
      </c>
      <c r="E43" s="49">
        <f>D43/100*A43</f>
        <v>32</v>
      </c>
      <c r="F43" s="18"/>
      <c r="G43" s="43"/>
      <c r="H43" s="55">
        <f>IF(E43=0,A43,A43/E43*J43)</f>
        <v>6.7966016991504254</v>
      </c>
      <c r="I43" s="2" t="str">
        <f>B43</f>
        <v>sucre</v>
      </c>
      <c r="J43" s="49">
        <f>E43*$M$18%</f>
        <v>27.186406796601702</v>
      </c>
    </row>
    <row r="44" spans="1:17">
      <c r="A44" s="42"/>
      <c r="B44" s="157"/>
      <c r="C44" s="272"/>
      <c r="E44" s="130" t="s">
        <v>6</v>
      </c>
      <c r="F44" s="138">
        <f>SUM(E42:E43)</f>
        <v>76.800000000000011</v>
      </c>
      <c r="G44" s="140"/>
      <c r="H44" s="42"/>
      <c r="I44" s="131"/>
      <c r="J44" s="130" t="s">
        <v>6</v>
      </c>
      <c r="K44" s="336">
        <f>SUM(J42:J43)</f>
        <v>65.247376311844079</v>
      </c>
      <c r="O44" s="45"/>
      <c r="Q44"/>
    </row>
    <row r="45" spans="1:17">
      <c r="A45" s="216" t="s">
        <v>226</v>
      </c>
      <c r="B45" s="16"/>
      <c r="C45" s="209"/>
      <c r="D45" s="17"/>
      <c r="E45" s="17"/>
      <c r="F45" s="18"/>
      <c r="G45" s="43"/>
      <c r="H45" s="17"/>
      <c r="I45" s="17"/>
      <c r="J45" s="17"/>
      <c r="P45"/>
      <c r="Q45"/>
    </row>
    <row r="46" spans="1:17">
      <c r="A46" s="66" t="s">
        <v>635</v>
      </c>
      <c r="B46" s="257"/>
      <c r="C46" s="257"/>
      <c r="D46" s="257"/>
      <c r="E46" s="257"/>
      <c r="F46" s="257"/>
      <c r="G46" s="257"/>
      <c r="H46" s="257"/>
      <c r="I46" s="257"/>
      <c r="J46" s="258"/>
      <c r="O46" s="45"/>
      <c r="Q46"/>
    </row>
    <row r="47" spans="1:17">
      <c r="A47" s="439">
        <v>200</v>
      </c>
      <c r="B47" s="2" t="s">
        <v>438</v>
      </c>
      <c r="C47" s="185" t="s">
        <v>676</v>
      </c>
      <c r="D47" s="253">
        <v>76</v>
      </c>
      <c r="E47" s="49">
        <f t="shared" ref="E47:E58" si="8">D47/100*A47</f>
        <v>152</v>
      </c>
      <c r="F47" s="68"/>
      <c r="G47" s="128"/>
      <c r="H47" s="55">
        <f t="shared" ref="H47:H58" si="9">IF(E47=0,A47,A47/E47*J47)</f>
        <v>169.91504247876065</v>
      </c>
      <c r="I47" s="2" t="str">
        <f t="shared" ref="I47:I58" si="10">B47</f>
        <v xml:space="preserve"> pommes de terre</v>
      </c>
      <c r="J47" s="49">
        <f t="shared" ref="J47:J69" si="11">E47*$M$18%</f>
        <v>129.13543228385808</v>
      </c>
      <c r="K47" s="241"/>
      <c r="O47" s="45"/>
      <c r="P47"/>
      <c r="Q47"/>
    </row>
    <row r="48" spans="1:17">
      <c r="A48" s="439">
        <v>150</v>
      </c>
      <c r="B48" s="2" t="s">
        <v>399</v>
      </c>
      <c r="C48" s="185" t="s">
        <v>676</v>
      </c>
      <c r="D48" s="253">
        <v>19</v>
      </c>
      <c r="E48" s="49">
        <f t="shared" si="8"/>
        <v>28.5</v>
      </c>
      <c r="F48" s="68"/>
      <c r="G48" s="128"/>
      <c r="H48" s="55">
        <f t="shared" si="9"/>
        <v>127.43628185907049</v>
      </c>
      <c r="I48" s="2" t="str">
        <f t="shared" si="10"/>
        <v>courgettes</v>
      </c>
      <c r="J48" s="49">
        <f t="shared" si="11"/>
        <v>24.212893553223392</v>
      </c>
      <c r="K48" s="241"/>
      <c r="O48" s="45"/>
      <c r="P48"/>
      <c r="Q48"/>
    </row>
    <row r="49" spans="1:17">
      <c r="A49" s="439">
        <v>100</v>
      </c>
      <c r="B49" s="2" t="s">
        <v>792</v>
      </c>
      <c r="C49" s="185" t="s">
        <v>676</v>
      </c>
      <c r="D49" s="253">
        <v>15</v>
      </c>
      <c r="E49" s="49">
        <f t="shared" si="8"/>
        <v>15</v>
      </c>
      <c r="F49" s="68"/>
      <c r="G49" s="128"/>
      <c r="H49" s="55">
        <f t="shared" si="9"/>
        <v>84.957521239380313</v>
      </c>
      <c r="I49" s="2" t="str">
        <f t="shared" si="10"/>
        <v>choucroute cuite</v>
      </c>
      <c r="J49" s="49">
        <f t="shared" si="11"/>
        <v>12.743628185907047</v>
      </c>
      <c r="K49" s="241"/>
      <c r="O49" s="45"/>
      <c r="P49"/>
      <c r="Q49"/>
    </row>
    <row r="50" spans="1:17">
      <c r="A50" s="439">
        <f>150/4</f>
        <v>37.5</v>
      </c>
      <c r="B50" s="2" t="s">
        <v>793</v>
      </c>
      <c r="C50" s="185" t="s">
        <v>676</v>
      </c>
      <c r="D50" s="253">
        <v>78</v>
      </c>
      <c r="E50" s="49">
        <f t="shared" si="8"/>
        <v>29.25</v>
      </c>
      <c r="F50" s="68"/>
      <c r="G50" s="128"/>
      <c r="H50" s="55">
        <f t="shared" si="9"/>
        <v>31.859070464767623</v>
      </c>
      <c r="I50" s="2" t="str">
        <f t="shared" si="10"/>
        <v>filet de cabillaud</v>
      </c>
      <c r="J50" s="49">
        <f t="shared" si="11"/>
        <v>24.850074962518743</v>
      </c>
      <c r="K50" s="241"/>
      <c r="L50" s="154"/>
      <c r="O50" s="45"/>
      <c r="P50"/>
      <c r="Q50"/>
    </row>
    <row r="51" spans="1:17">
      <c r="A51" s="439">
        <f t="shared" ref="A51:A53" si="12">150/4</f>
        <v>37.5</v>
      </c>
      <c r="B51" s="2" t="s">
        <v>794</v>
      </c>
      <c r="C51" s="185" t="s">
        <v>676</v>
      </c>
      <c r="D51" s="253">
        <v>170</v>
      </c>
      <c r="E51" s="49">
        <f t="shared" si="8"/>
        <v>63.75</v>
      </c>
      <c r="F51" s="68"/>
      <c r="G51" s="128"/>
      <c r="H51" s="55">
        <f t="shared" si="9"/>
        <v>31.859070464767619</v>
      </c>
      <c r="I51" s="2" t="str">
        <f t="shared" si="10"/>
        <v>filet de saumon</v>
      </c>
      <c r="J51" s="49">
        <f t="shared" si="11"/>
        <v>54.160419790104953</v>
      </c>
      <c r="K51" s="241"/>
      <c r="O51" s="45"/>
      <c r="P51"/>
      <c r="Q51"/>
    </row>
    <row r="52" spans="1:17">
      <c r="A52" s="439">
        <f t="shared" si="12"/>
        <v>37.5</v>
      </c>
      <c r="B52" s="2" t="s">
        <v>795</v>
      </c>
      <c r="C52" s="196" t="s">
        <v>673</v>
      </c>
      <c r="D52" s="253">
        <v>180</v>
      </c>
      <c r="E52" s="49">
        <f t="shared" si="8"/>
        <v>67.5</v>
      </c>
      <c r="F52" s="68"/>
      <c r="G52" s="128"/>
      <c r="H52" s="55">
        <f t="shared" si="9"/>
        <v>31.859070464767623</v>
      </c>
      <c r="I52" s="2" t="str">
        <f t="shared" si="10"/>
        <v>filet de truite fumée</v>
      </c>
      <c r="J52" s="49">
        <f t="shared" si="11"/>
        <v>57.346326836581717</v>
      </c>
      <c r="K52" s="241"/>
      <c r="O52" s="45"/>
      <c r="P52"/>
      <c r="Q52"/>
    </row>
    <row r="53" spans="1:17">
      <c r="A53" s="439">
        <f t="shared" si="12"/>
        <v>37.5</v>
      </c>
      <c r="B53" s="2" t="s">
        <v>796</v>
      </c>
      <c r="C53" s="281" t="s">
        <v>676</v>
      </c>
      <c r="D53" s="253">
        <v>56</v>
      </c>
      <c r="E53" s="49">
        <f t="shared" si="8"/>
        <v>21.000000000000004</v>
      </c>
      <c r="F53" s="68"/>
      <c r="G53" s="128"/>
      <c r="H53" s="55">
        <f t="shared" si="9"/>
        <v>31.859070464767619</v>
      </c>
      <c r="I53" s="2" t="str">
        <f t="shared" si="10"/>
        <v>grosses crevettes décortiquées</v>
      </c>
      <c r="J53" s="49">
        <f t="shared" si="11"/>
        <v>17.841079460269871</v>
      </c>
      <c r="K53" s="241"/>
      <c r="O53" s="45"/>
      <c r="P53"/>
      <c r="Q53"/>
    </row>
    <row r="54" spans="1:17">
      <c r="A54" s="439">
        <v>1.5</v>
      </c>
      <c r="B54" s="2" t="s">
        <v>554</v>
      </c>
      <c r="C54" s="197" t="s">
        <v>674</v>
      </c>
      <c r="D54" s="253">
        <v>899</v>
      </c>
      <c r="E54" s="49">
        <f t="shared" si="8"/>
        <v>13.484999999999999</v>
      </c>
      <c r="F54" s="68"/>
      <c r="G54" s="128"/>
      <c r="H54" s="55">
        <f t="shared" si="9"/>
        <v>1.2743628185907048</v>
      </c>
      <c r="I54" s="2" t="str">
        <f t="shared" si="10"/>
        <v xml:space="preserve">huile d’olive </v>
      </c>
      <c r="J54" s="49">
        <f t="shared" si="11"/>
        <v>11.456521739130435</v>
      </c>
      <c r="K54" s="241"/>
      <c r="L54" s="154"/>
      <c r="O54" s="45"/>
      <c r="P54"/>
      <c r="Q54"/>
    </row>
    <row r="55" spans="1:17">
      <c r="A55" s="439">
        <v>37.5</v>
      </c>
      <c r="B55" s="2" t="s">
        <v>145</v>
      </c>
      <c r="C55" s="197" t="s">
        <v>674</v>
      </c>
      <c r="D55" s="253">
        <v>252</v>
      </c>
      <c r="E55" s="49">
        <f t="shared" si="8"/>
        <v>94.5</v>
      </c>
      <c r="F55" s="68"/>
      <c r="G55" s="128"/>
      <c r="H55" s="55">
        <f t="shared" si="9"/>
        <v>31.859070464767619</v>
      </c>
      <c r="I55" s="2" t="str">
        <f t="shared" si="10"/>
        <v>crème</v>
      </c>
      <c r="J55" s="49">
        <f t="shared" si="11"/>
        <v>80.284857571214403</v>
      </c>
      <c r="K55" s="241"/>
      <c r="L55" s="154"/>
      <c r="O55" s="45"/>
      <c r="P55"/>
      <c r="Q55"/>
    </row>
    <row r="56" spans="1:17">
      <c r="A56" s="439">
        <v>5</v>
      </c>
      <c r="B56" s="2" t="s">
        <v>797</v>
      </c>
      <c r="C56" s="185" t="s">
        <v>676</v>
      </c>
      <c r="D56" s="253">
        <v>44</v>
      </c>
      <c r="E56" s="49">
        <f t="shared" si="8"/>
        <v>2.2000000000000002</v>
      </c>
      <c r="F56" s="68"/>
      <c r="G56" s="128"/>
      <c r="H56" s="55">
        <f t="shared" si="9"/>
        <v>4.2478760619690155</v>
      </c>
      <c r="I56" s="2" t="str">
        <f t="shared" si="10"/>
        <v xml:space="preserve">cerfeuil </v>
      </c>
      <c r="J56" s="49">
        <f t="shared" si="11"/>
        <v>1.8690654672663671</v>
      </c>
      <c r="K56" s="241"/>
      <c r="O56" s="45"/>
      <c r="P56"/>
      <c r="Q56"/>
    </row>
    <row r="57" spans="1:17">
      <c r="A57" s="439">
        <v>1</v>
      </c>
      <c r="B57" s="2" t="s">
        <v>331</v>
      </c>
      <c r="C57" s="197" t="s">
        <v>674</v>
      </c>
      <c r="D57" s="253">
        <v>0</v>
      </c>
      <c r="E57" s="49">
        <f t="shared" si="8"/>
        <v>0</v>
      </c>
      <c r="F57" s="68"/>
      <c r="G57" s="128"/>
      <c r="H57" s="55">
        <f t="shared" si="9"/>
        <v>1</v>
      </c>
      <c r="I57" s="2" t="str">
        <f t="shared" si="10"/>
        <v xml:space="preserve">sel </v>
      </c>
      <c r="J57" s="49">
        <f t="shared" si="11"/>
        <v>0</v>
      </c>
      <c r="K57" s="241"/>
      <c r="O57" s="45"/>
      <c r="P57"/>
      <c r="Q57"/>
    </row>
    <row r="58" spans="1:17">
      <c r="A58" s="250">
        <v>0.5</v>
      </c>
      <c r="B58" s="2" t="s">
        <v>150</v>
      </c>
      <c r="C58" s="199" t="s">
        <v>675</v>
      </c>
      <c r="D58" s="253">
        <v>222</v>
      </c>
      <c r="E58" s="49">
        <f t="shared" si="8"/>
        <v>1.1100000000000001</v>
      </c>
      <c r="F58" s="68"/>
      <c r="G58" s="128"/>
      <c r="H58" s="55">
        <f t="shared" si="9"/>
        <v>0.42478760619690159</v>
      </c>
      <c r="I58" s="2" t="str">
        <f t="shared" si="10"/>
        <v xml:space="preserve">poivre </v>
      </c>
      <c r="J58" s="49">
        <f t="shared" si="11"/>
        <v>0.94302848575712162</v>
      </c>
      <c r="K58" s="241"/>
      <c r="O58" s="45"/>
      <c r="P58"/>
      <c r="Q58"/>
    </row>
    <row r="59" spans="1:17">
      <c r="A59" s="42"/>
      <c r="B59" s="131"/>
      <c r="C59" s="201"/>
      <c r="E59" s="130" t="s">
        <v>6</v>
      </c>
      <c r="F59" s="138">
        <f>SUM(E47:E58)</f>
        <v>488.29500000000002</v>
      </c>
      <c r="G59" s="140"/>
      <c r="H59" s="42"/>
      <c r="I59" s="131"/>
      <c r="J59" s="130" t="s">
        <v>6</v>
      </c>
      <c r="K59" s="336">
        <f>SUM(J47:J58)</f>
        <v>414.8433283358321</v>
      </c>
      <c r="O59" s="45"/>
      <c r="Q59"/>
    </row>
    <row r="60" spans="1:17">
      <c r="A60" s="66" t="s">
        <v>641</v>
      </c>
      <c r="B60" s="257"/>
      <c r="C60" s="257"/>
      <c r="D60" s="257"/>
      <c r="E60" s="257"/>
      <c r="F60" s="259"/>
      <c r="G60" s="260"/>
      <c r="H60" s="257"/>
      <c r="I60" s="257"/>
      <c r="J60" s="258"/>
      <c r="K60" s="30"/>
      <c r="O60" s="45"/>
      <c r="Q60"/>
    </row>
    <row r="61" spans="1:17">
      <c r="A61" s="439">
        <v>25</v>
      </c>
      <c r="B61" s="2" t="s">
        <v>118</v>
      </c>
      <c r="C61" s="196" t="s">
        <v>673</v>
      </c>
      <c r="D61" s="253">
        <v>338</v>
      </c>
      <c r="E61" s="49">
        <f t="shared" ref="E61:E67" si="13">D61/100*A61</f>
        <v>84.5</v>
      </c>
      <c r="F61" s="68"/>
      <c r="G61" s="128"/>
      <c r="H61" s="55">
        <f>IF(E61=0,A61,A61/E61*J61)</f>
        <v>21.239380309845082</v>
      </c>
      <c r="I61" s="2" t="str">
        <f>B61</f>
        <v>farine</v>
      </c>
      <c r="J61" s="49">
        <f t="shared" si="11"/>
        <v>71.78910544727637</v>
      </c>
      <c r="K61" s="241"/>
      <c r="O61" s="45"/>
      <c r="P61"/>
      <c r="Q61"/>
    </row>
    <row r="62" spans="1:17">
      <c r="A62" s="439">
        <v>7.5</v>
      </c>
      <c r="B62" s="2" t="s">
        <v>798</v>
      </c>
      <c r="C62" s="196" t="s">
        <v>673</v>
      </c>
      <c r="D62" s="253">
        <v>646</v>
      </c>
      <c r="E62" s="49">
        <f t="shared" si="13"/>
        <v>48.45</v>
      </c>
      <c r="F62" s="68"/>
      <c r="G62" s="128"/>
      <c r="H62" s="55">
        <f t="shared" ref="H62:H65" si="14">IF(E62=0,A62,A62/E62*J62)</f>
        <v>6.3718140929535236</v>
      </c>
      <c r="I62" s="2" t="str">
        <f t="shared" ref="I62:I65" si="15">B62</f>
        <v>poudre de noisette</v>
      </c>
      <c r="J62" s="49">
        <f t="shared" si="11"/>
        <v>41.161919040479766</v>
      </c>
      <c r="K62" s="241"/>
      <c r="O62" s="45"/>
      <c r="P62"/>
      <c r="Q62"/>
    </row>
    <row r="63" spans="1:17">
      <c r="A63" s="439">
        <v>5</v>
      </c>
      <c r="B63" s="2" t="s">
        <v>2</v>
      </c>
      <c r="C63" s="197" t="s">
        <v>674</v>
      </c>
      <c r="D63" s="253">
        <v>400</v>
      </c>
      <c r="E63" s="49">
        <f t="shared" si="13"/>
        <v>20</v>
      </c>
      <c r="F63" s="68"/>
      <c r="G63" s="128"/>
      <c r="H63" s="55">
        <f t="shared" si="14"/>
        <v>4.2478760619690163</v>
      </c>
      <c r="I63" s="2" t="str">
        <f t="shared" si="15"/>
        <v>sucre</v>
      </c>
      <c r="J63" s="49">
        <f t="shared" si="11"/>
        <v>16.991504247876065</v>
      </c>
      <c r="K63" s="241"/>
      <c r="O63" s="45"/>
      <c r="P63"/>
      <c r="Q63"/>
    </row>
    <row r="64" spans="1:17">
      <c r="A64" s="439">
        <v>15</v>
      </c>
      <c r="B64" s="2" t="s">
        <v>126</v>
      </c>
      <c r="C64" s="185" t="s">
        <v>676</v>
      </c>
      <c r="D64" s="253">
        <v>146</v>
      </c>
      <c r="E64" s="49">
        <f t="shared" si="13"/>
        <v>21.9</v>
      </c>
      <c r="F64" s="68"/>
      <c r="G64" s="128"/>
      <c r="H64" s="55">
        <f t="shared" si="14"/>
        <v>12.743628185907047</v>
      </c>
      <c r="I64" s="2" t="str">
        <f t="shared" si="15"/>
        <v>œuf</v>
      </c>
      <c r="J64" s="49">
        <f t="shared" si="11"/>
        <v>18.605697151424287</v>
      </c>
      <c r="K64" s="241"/>
      <c r="O64" s="45"/>
      <c r="P64"/>
      <c r="Q64"/>
    </row>
    <row r="65" spans="1:17">
      <c r="A65" s="439">
        <v>9</v>
      </c>
      <c r="B65" s="2" t="s">
        <v>640</v>
      </c>
      <c r="C65" s="282" t="s">
        <v>677</v>
      </c>
      <c r="D65" s="253">
        <v>899</v>
      </c>
      <c r="E65" s="49">
        <f t="shared" si="13"/>
        <v>80.91</v>
      </c>
      <c r="F65" s="68"/>
      <c r="G65" s="128"/>
      <c r="H65" s="55">
        <f t="shared" si="14"/>
        <v>7.6461769115442282</v>
      </c>
      <c r="I65" s="2" t="str">
        <f t="shared" si="15"/>
        <v>huile de pépin de raisin</v>
      </c>
      <c r="J65" s="49">
        <f t="shared" si="11"/>
        <v>68.739130434782609</v>
      </c>
      <c r="K65" s="241"/>
      <c r="O65" s="45"/>
      <c r="P65"/>
      <c r="Q65"/>
    </row>
    <row r="66" spans="1:17">
      <c r="A66" s="439">
        <f>70/4</f>
        <v>17.5</v>
      </c>
      <c r="B66" s="2" t="s">
        <v>145</v>
      </c>
      <c r="C66" s="197" t="s">
        <v>674</v>
      </c>
      <c r="D66" s="253">
        <v>252</v>
      </c>
      <c r="E66" s="49">
        <f t="shared" si="13"/>
        <v>44.1</v>
      </c>
      <c r="F66" s="68"/>
      <c r="G66" s="128"/>
      <c r="H66" s="55">
        <f>IF(E66=0,A66,A66/E66*J66)</f>
        <v>14.867566216891555</v>
      </c>
      <c r="I66" s="2" t="str">
        <f>B66</f>
        <v>crème</v>
      </c>
      <c r="J66" s="49">
        <f>E66*$M$18%</f>
        <v>37.46626686656672</v>
      </c>
      <c r="K66" s="241"/>
      <c r="O66" s="45"/>
      <c r="P66"/>
      <c r="Q66"/>
    </row>
    <row r="67" spans="1:17">
      <c r="A67" s="439">
        <v>50</v>
      </c>
      <c r="B67" s="2" t="s">
        <v>799</v>
      </c>
      <c r="C67" s="197" t="s">
        <v>674</v>
      </c>
      <c r="D67" s="253">
        <v>258</v>
      </c>
      <c r="E67" s="49">
        <f t="shared" si="13"/>
        <v>129</v>
      </c>
      <c r="F67" s="68"/>
      <c r="G67" s="128"/>
      <c r="H67" s="55">
        <f>IF(E67=0,A67,A67/E67*J67)</f>
        <v>42.478760619690163</v>
      </c>
      <c r="I67" s="2" t="str">
        <f>B67</f>
        <v>purée de châtaigne</v>
      </c>
      <c r="J67" s="49">
        <f t="shared" si="11"/>
        <v>109.59520239880061</v>
      </c>
      <c r="K67" s="241"/>
      <c r="L67" s="154"/>
      <c r="O67" s="45"/>
      <c r="P67"/>
      <c r="Q67"/>
    </row>
    <row r="68" spans="1:17">
      <c r="A68" s="42"/>
      <c r="B68" s="131"/>
      <c r="C68" s="201"/>
      <c r="E68" s="143" t="s">
        <v>6</v>
      </c>
      <c r="F68" s="314">
        <f>SUM(E61:E67)</f>
        <v>428.86</v>
      </c>
      <c r="G68" s="25"/>
      <c r="H68" s="42"/>
      <c r="I68" s="131"/>
      <c r="J68" s="143" t="s">
        <v>6</v>
      </c>
      <c r="K68" s="336">
        <f>SUM(J61:J67)</f>
        <v>364.34882558720642</v>
      </c>
      <c r="L68" s="154"/>
      <c r="O68" s="45"/>
      <c r="Q68"/>
    </row>
    <row r="69" spans="1:17">
      <c r="A69" s="54">
        <f>IF(D5="non",0,IF(D5="1 verre",125,250))</f>
        <v>0</v>
      </c>
      <c r="B69" s="2" t="str">
        <f>IF(A69=0,"","vin")</f>
        <v/>
      </c>
      <c r="C69" s="203"/>
      <c r="D69" s="51">
        <v>80</v>
      </c>
      <c r="E69" s="49">
        <f>D69/100*A69</f>
        <v>0</v>
      </c>
      <c r="G69" s="142"/>
      <c r="H69" s="55">
        <f>IF(E69=0,A69,A69/E69*J69)</f>
        <v>0</v>
      </c>
      <c r="I69" s="2" t="str">
        <f>B69</f>
        <v/>
      </c>
      <c r="J69" s="49">
        <f t="shared" si="11"/>
        <v>0</v>
      </c>
      <c r="L69" s="154"/>
      <c r="O69" s="45"/>
      <c r="P69"/>
      <c r="Q69"/>
    </row>
    <row r="70" spans="1:17" ht="6" customHeight="1">
      <c r="A70" s="17"/>
      <c r="B70" s="17"/>
      <c r="C70" s="188"/>
      <c r="D70" s="68"/>
      <c r="E70" s="17"/>
      <c r="F70" s="18"/>
      <c r="G70" s="204"/>
      <c r="H70" s="17"/>
      <c r="I70" s="17"/>
      <c r="J70" s="17"/>
      <c r="L70" s="154"/>
      <c r="P70"/>
      <c r="Q70"/>
    </row>
    <row r="71" spans="1:17">
      <c r="A71" s="17"/>
      <c r="B71" s="17"/>
      <c r="C71" s="188"/>
      <c r="D71" s="69" t="s">
        <v>129</v>
      </c>
      <c r="F71" s="138">
        <f>SUM(F22:F68)</f>
        <v>2001.3250000000003</v>
      </c>
      <c r="G71" s="204"/>
      <c r="H71" s="17"/>
      <c r="I71" s="69" t="s">
        <v>129</v>
      </c>
      <c r="K71" s="336">
        <f>SUM(K22:K68)</f>
        <v>1700.2761119440281</v>
      </c>
      <c r="L71" s="154"/>
      <c r="P71"/>
      <c r="Q71"/>
    </row>
    <row r="72" spans="1:17">
      <c r="A72" s="17"/>
      <c r="B72" s="17"/>
      <c r="C72" s="188"/>
      <c r="D72" s="18" t="s">
        <v>130</v>
      </c>
      <c r="E72" s="25"/>
      <c r="F72" s="144">
        <f>F71+E69</f>
        <v>2001.3250000000003</v>
      </c>
      <c r="G72" s="43"/>
      <c r="H72" s="42"/>
      <c r="I72" s="18" t="s">
        <v>130</v>
      </c>
      <c r="J72" s="25"/>
      <c r="K72" s="336">
        <f>K71+J69</f>
        <v>1700.2761119440281</v>
      </c>
      <c r="L72" s="154"/>
      <c r="P72"/>
      <c r="Q72"/>
    </row>
    <row r="73" spans="1:17">
      <c r="A73" s="17"/>
      <c r="B73" s="16"/>
      <c r="C73" s="188"/>
      <c r="D73" s="17"/>
      <c r="E73" s="17"/>
      <c r="F73" s="205"/>
      <c r="G73" s="43"/>
      <c r="H73" s="17"/>
      <c r="I73" s="17"/>
      <c r="J73" s="17"/>
      <c r="K73" s="342"/>
      <c r="L73" s="154"/>
      <c r="P73"/>
      <c r="Q73"/>
    </row>
    <row r="74" spans="1:17" ht="19">
      <c r="A74" s="118" t="s">
        <v>100</v>
      </c>
      <c r="B74" s="491" t="s">
        <v>99</v>
      </c>
      <c r="C74" s="491"/>
      <c r="D74" s="17"/>
      <c r="E74" s="17"/>
      <c r="F74" s="18"/>
      <c r="G74" s="18"/>
      <c r="H74" s="17"/>
      <c r="I74" s="17"/>
      <c r="J74" s="17"/>
      <c r="P74"/>
      <c r="Q74"/>
    </row>
    <row r="75" spans="1:17" ht="409" customHeight="1">
      <c r="A75" s="17"/>
      <c r="B75" s="16"/>
      <c r="C75" s="228"/>
      <c r="D75" s="17"/>
      <c r="E75" s="17"/>
      <c r="F75" s="18"/>
      <c r="G75" s="18"/>
      <c r="H75" s="17"/>
      <c r="I75" s="17"/>
      <c r="J75" s="17"/>
      <c r="K75" s="18"/>
      <c r="P75"/>
      <c r="Q75"/>
    </row>
    <row r="76" spans="1:17">
      <c r="A76" s="17"/>
      <c r="B76" s="16"/>
      <c r="C76" s="188"/>
      <c r="D76" s="17"/>
      <c r="E76" s="17"/>
      <c r="F76" s="18"/>
      <c r="G76" s="18"/>
      <c r="H76" s="17"/>
      <c r="I76" s="17"/>
      <c r="J76" s="17"/>
      <c r="P76"/>
      <c r="Q76"/>
    </row>
    <row r="77" spans="1:17">
      <c r="A77" s="17"/>
      <c r="B77" s="16"/>
      <c r="C77" s="188"/>
      <c r="D77" s="17"/>
      <c r="E77" s="17"/>
      <c r="F77" s="18"/>
      <c r="G77" s="18"/>
      <c r="H77" s="17"/>
      <c r="I77" s="17"/>
      <c r="J77" s="17"/>
      <c r="P77"/>
      <c r="Q77"/>
    </row>
    <row r="78" spans="1:17">
      <c r="F78" s="18"/>
      <c r="G78" s="18"/>
      <c r="N78"/>
      <c r="O78"/>
      <c r="P78"/>
      <c r="Q78"/>
    </row>
    <row r="79" spans="1:17">
      <c r="F79" s="206"/>
      <c r="K79" s="241"/>
      <c r="N79"/>
      <c r="O79"/>
      <c r="P79"/>
      <c r="Q79"/>
    </row>
    <row r="80" spans="1:17">
      <c r="B80"/>
      <c r="C80"/>
      <c r="N80"/>
      <c r="O80"/>
      <c r="P80"/>
      <c r="Q80"/>
    </row>
    <row r="81" spans="2:17">
      <c r="B81"/>
      <c r="C81"/>
      <c r="N81"/>
      <c r="O81"/>
      <c r="P81"/>
      <c r="Q81"/>
    </row>
    <row r="82" spans="2:17">
      <c r="B82"/>
      <c r="C82"/>
      <c r="N82"/>
      <c r="O82"/>
      <c r="P82"/>
      <c r="Q82"/>
    </row>
    <row r="83" spans="2:17">
      <c r="B83"/>
      <c r="C83"/>
      <c r="N83"/>
      <c r="O83"/>
      <c r="P83"/>
      <c r="Q83"/>
    </row>
    <row r="84" spans="2:17">
      <c r="B84"/>
      <c r="C84"/>
      <c r="N84"/>
      <c r="O84"/>
      <c r="P84"/>
      <c r="Q84"/>
    </row>
    <row r="85" spans="2:17">
      <c r="B85"/>
      <c r="C85"/>
      <c r="N85"/>
      <c r="O85"/>
      <c r="P85"/>
      <c r="Q85"/>
    </row>
    <row r="86" spans="2:17">
      <c r="B86"/>
      <c r="C86"/>
      <c r="N86"/>
      <c r="O86"/>
      <c r="P86"/>
      <c r="Q86"/>
    </row>
    <row r="87" spans="2:17">
      <c r="B87"/>
      <c r="C87"/>
      <c r="N87"/>
      <c r="O87"/>
      <c r="P87"/>
      <c r="Q87"/>
    </row>
    <row r="88" spans="2:17">
      <c r="B88"/>
      <c r="C88"/>
      <c r="N88"/>
      <c r="O88"/>
      <c r="P88"/>
      <c r="Q88"/>
    </row>
    <row r="89" spans="2:17">
      <c r="B89"/>
      <c r="C89"/>
      <c r="N89"/>
      <c r="O89"/>
      <c r="P89"/>
      <c r="Q89"/>
    </row>
    <row r="90" spans="2:17">
      <c r="B90"/>
      <c r="C90"/>
      <c r="N90"/>
      <c r="O90"/>
      <c r="P90"/>
      <c r="Q90"/>
    </row>
    <row r="91" spans="2:17">
      <c r="B91"/>
      <c r="C91"/>
      <c r="N91"/>
      <c r="O91"/>
      <c r="P91"/>
      <c r="Q91"/>
    </row>
    <row r="92" spans="2:17">
      <c r="B92"/>
      <c r="C92"/>
      <c r="N92"/>
      <c r="O92"/>
      <c r="P92"/>
      <c r="Q92"/>
    </row>
    <row r="93" spans="2:17">
      <c r="B93"/>
      <c r="C93"/>
      <c r="N93"/>
      <c r="O93"/>
      <c r="P93"/>
      <c r="Q93"/>
    </row>
    <row r="94" spans="2:17">
      <c r="B94"/>
      <c r="C94"/>
      <c r="F94"/>
      <c r="G94"/>
      <c r="K94" s="235"/>
      <c r="N94"/>
      <c r="O94"/>
      <c r="P94"/>
      <c r="Q94"/>
    </row>
    <row r="95" spans="2:17">
      <c r="B95"/>
      <c r="C95"/>
      <c r="F95"/>
      <c r="G95"/>
      <c r="K95" s="235"/>
      <c r="N95"/>
      <c r="O95"/>
      <c r="P95"/>
      <c r="Q95"/>
    </row>
    <row r="96" spans="2:17">
      <c r="B96"/>
      <c r="C96"/>
      <c r="F96"/>
      <c r="G96"/>
      <c r="K96" s="235"/>
      <c r="N96"/>
      <c r="O96"/>
      <c r="P96"/>
      <c r="Q96"/>
    </row>
    <row r="97" spans="2:17">
      <c r="B97"/>
      <c r="C97"/>
      <c r="F97"/>
      <c r="G97"/>
      <c r="K97" s="235"/>
      <c r="N97"/>
      <c r="O97"/>
      <c r="P97"/>
      <c r="Q97"/>
    </row>
    <row r="98" spans="2:17">
      <c r="B98"/>
      <c r="C98"/>
      <c r="F98"/>
      <c r="G98"/>
      <c r="K98" s="235"/>
      <c r="N98"/>
      <c r="O98"/>
      <c r="P98"/>
      <c r="Q98"/>
    </row>
  </sheetData>
  <sheetProtection password="A5F4" sheet="1" objects="1" scenarios="1" selectLockedCells="1"/>
  <mergeCells count="8">
    <mergeCell ref="B74:C74"/>
    <mergeCell ref="D8:J8"/>
    <mergeCell ref="B15:J15"/>
    <mergeCell ref="A18:A19"/>
    <mergeCell ref="B18:B19"/>
    <mergeCell ref="D18:E18"/>
    <mergeCell ref="H18:H19"/>
    <mergeCell ref="I18:I19"/>
  </mergeCells>
  <dataValidations count="1">
    <dataValidation allowBlank="1" showErrorMessage="1" promptTitle="Modification des quantités" prompt="Vous pouvez diminuer ou augmenter la quantité,._x000d_Si vous désirez supprimer l'aliment, inscrivez 0 (zéro)." sqref="A42:A43"/>
  </dataValidations>
  <hyperlinks>
    <hyperlink ref="B74" location="sommaire!A1" display="RETOUR AU SOMMAIRE"/>
    <hyperlink ref="C74"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9"/>
  <sheetViews>
    <sheetView workbookViewId="0">
      <selection activeCell="D5" sqref="D5"/>
    </sheetView>
  </sheetViews>
  <sheetFormatPr baseColWidth="10" defaultRowHeight="15" x14ac:dyDescent="0"/>
  <cols>
    <col min="1" max="1" width="6.33203125" customWidth="1"/>
    <col min="2" max="2" width="28.6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767</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ROUND(F82,0)</f>
        <v>2004</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304</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D3+E80-D11</f>
        <v>304</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21"/>
      <c r="D18" s="481" t="s">
        <v>7</v>
      </c>
      <c r="E18" s="482"/>
      <c r="F18" s="18"/>
      <c r="G18" s="43"/>
      <c r="H18" s="487" t="str">
        <f>A18</f>
        <v>g/cl</v>
      </c>
      <c r="I18" s="489" t="str">
        <f>B18</f>
        <v>Ingrédients</v>
      </c>
      <c r="J18" s="70" t="s">
        <v>7</v>
      </c>
      <c r="M18" s="411">
        <f>100-(D12/((D11+D12)/100))</f>
        <v>84.830339321357286</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244</v>
      </c>
      <c r="B21" s="16"/>
      <c r="C21" s="209"/>
      <c r="D21" s="17"/>
      <c r="E21" s="17"/>
      <c r="F21" s="18"/>
      <c r="G21" s="43"/>
      <c r="H21" s="17"/>
      <c r="I21" s="17"/>
      <c r="J21" s="17"/>
      <c r="L21" s="154"/>
      <c r="P21"/>
      <c r="Q21"/>
    </row>
    <row r="22" spans="1:17">
      <c r="A22" s="438">
        <v>50</v>
      </c>
      <c r="B22" s="107" t="s">
        <v>160</v>
      </c>
      <c r="C22" s="196" t="s">
        <v>673</v>
      </c>
      <c r="D22" s="164">
        <v>382</v>
      </c>
      <c r="E22" s="49">
        <f t="shared" ref="E22:E27" si="0">D22/100*A22</f>
        <v>191</v>
      </c>
      <c r="F22" s="18"/>
      <c r="G22" s="43"/>
      <c r="H22" s="55">
        <f t="shared" ref="H22:H27" si="1">IF(E22=0,A22,A22/E22*J22)</f>
        <v>42.415169660678643</v>
      </c>
      <c r="I22" s="2" t="str">
        <f t="shared" ref="I22:I27" si="2">B22</f>
        <v>céréales au miel</v>
      </c>
      <c r="J22" s="49">
        <f>E22*$M$18%</f>
        <v>162.02594810379242</v>
      </c>
      <c r="M22" s="411"/>
      <c r="Q22"/>
    </row>
    <row r="23" spans="1:17">
      <c r="A23" s="438">
        <v>150</v>
      </c>
      <c r="B23" s="2" t="s">
        <v>1</v>
      </c>
      <c r="C23" s="218"/>
      <c r="D23" s="51">
        <v>0</v>
      </c>
      <c r="E23" s="49">
        <f t="shared" si="0"/>
        <v>0</v>
      </c>
      <c r="F23" s="18"/>
      <c r="G23" s="43"/>
      <c r="H23" s="55">
        <f t="shared" si="1"/>
        <v>150</v>
      </c>
      <c r="I23" s="2" t="str">
        <f t="shared" si="2"/>
        <v>café</v>
      </c>
      <c r="J23" s="49">
        <f t="shared" ref="J23:J27" si="3">E23*$M$18%</f>
        <v>0</v>
      </c>
      <c r="Q23"/>
    </row>
    <row r="24" spans="1:17">
      <c r="A24" s="438">
        <v>4</v>
      </c>
      <c r="B24" s="2" t="s">
        <v>2</v>
      </c>
      <c r="C24" s="186" t="s">
        <v>674</v>
      </c>
      <c r="D24" s="51">
        <v>400</v>
      </c>
      <c r="E24" s="49">
        <f t="shared" si="0"/>
        <v>16</v>
      </c>
      <c r="F24" s="18"/>
      <c r="G24" s="43"/>
      <c r="H24" s="55">
        <f t="shared" si="1"/>
        <v>3.3932135728542914</v>
      </c>
      <c r="I24" s="2" t="str">
        <f t="shared" si="2"/>
        <v>sucre</v>
      </c>
      <c r="J24" s="49">
        <f t="shared" si="3"/>
        <v>13.572854291417165</v>
      </c>
      <c r="O24" s="45"/>
      <c r="Q24"/>
    </row>
    <row r="25" spans="1:17">
      <c r="A25" s="438">
        <v>12</v>
      </c>
      <c r="B25" s="2" t="s">
        <v>5</v>
      </c>
      <c r="C25" s="196" t="s">
        <v>673</v>
      </c>
      <c r="D25" s="51">
        <v>161</v>
      </c>
      <c r="E25" s="49">
        <f t="shared" si="0"/>
        <v>19.32</v>
      </c>
      <c r="F25" s="18"/>
      <c r="G25" s="43"/>
      <c r="H25" s="55">
        <f t="shared" si="1"/>
        <v>10.179640718562872</v>
      </c>
      <c r="I25" s="2" t="str">
        <f t="shared" si="2"/>
        <v>crème à café</v>
      </c>
      <c r="J25" s="49">
        <f t="shared" si="3"/>
        <v>16.389221556886227</v>
      </c>
      <c r="O25" s="45"/>
      <c r="Q25"/>
    </row>
    <row r="26" spans="1:17">
      <c r="A26" s="438">
        <v>125</v>
      </c>
      <c r="B26" s="2" t="s">
        <v>123</v>
      </c>
      <c r="C26" s="183" t="s">
        <v>675</v>
      </c>
      <c r="D26" s="51">
        <v>87</v>
      </c>
      <c r="E26" s="49">
        <f t="shared" si="0"/>
        <v>108.75</v>
      </c>
      <c r="F26" s="18"/>
      <c r="G26" s="43"/>
      <c r="H26" s="55">
        <f t="shared" si="1"/>
        <v>106.0379241516966</v>
      </c>
      <c r="I26" s="2" t="str">
        <f t="shared" si="2"/>
        <v>yogourt aux fruits</v>
      </c>
      <c r="J26" s="49">
        <f t="shared" si="3"/>
        <v>92.252994011976043</v>
      </c>
      <c r="O26" s="45"/>
      <c r="Q26"/>
    </row>
    <row r="27" spans="1:17">
      <c r="A27" s="438">
        <v>150</v>
      </c>
      <c r="B27" s="2" t="s">
        <v>103</v>
      </c>
      <c r="C27" s="183" t="s">
        <v>675</v>
      </c>
      <c r="D27" s="51">
        <v>45</v>
      </c>
      <c r="E27" s="49">
        <f t="shared" si="0"/>
        <v>67.5</v>
      </c>
      <c r="F27" s="18"/>
      <c r="G27" s="43"/>
      <c r="H27" s="55">
        <f t="shared" si="1"/>
        <v>127.24550898203594</v>
      </c>
      <c r="I27" s="2" t="str">
        <f t="shared" si="2"/>
        <v>jus d'orange maison</v>
      </c>
      <c r="J27" s="49">
        <f t="shared" si="3"/>
        <v>57.26047904191617</v>
      </c>
      <c r="O27" s="45"/>
      <c r="Q27"/>
    </row>
    <row r="28" spans="1:17">
      <c r="A28" s="42"/>
      <c r="B28" s="131"/>
      <c r="C28" s="200"/>
      <c r="E28" s="130" t="s">
        <v>6</v>
      </c>
      <c r="F28" s="135">
        <f>SUM(E22:E27)</f>
        <v>402.57</v>
      </c>
      <c r="G28" s="128"/>
      <c r="H28" s="42"/>
      <c r="I28" s="131"/>
      <c r="J28" s="130" t="s">
        <v>6</v>
      </c>
      <c r="K28" s="336">
        <f>SUM(J22:J27)</f>
        <v>341.50149700598809</v>
      </c>
      <c r="O28" s="45"/>
      <c r="Q28"/>
    </row>
    <row r="29" spans="1:17">
      <c r="A29" s="216" t="s">
        <v>225</v>
      </c>
      <c r="B29" s="16"/>
      <c r="C29" s="209"/>
      <c r="D29" s="17"/>
      <c r="E29" s="17"/>
      <c r="F29" s="18"/>
      <c r="G29" s="43"/>
      <c r="H29" s="17"/>
      <c r="I29" s="17"/>
      <c r="J29" s="17"/>
      <c r="P29"/>
      <c r="Q29"/>
    </row>
    <row r="30" spans="1:17">
      <c r="A30" s="66" t="s">
        <v>643</v>
      </c>
      <c r="B30" s="257"/>
      <c r="C30" s="257"/>
      <c r="D30" s="257"/>
      <c r="E30" s="257"/>
      <c r="F30" s="257"/>
      <c r="G30" s="257"/>
      <c r="H30" s="257"/>
      <c r="I30" s="257"/>
      <c r="J30" s="258"/>
      <c r="L30" s="154"/>
      <c r="O30" s="45"/>
      <c r="Q30"/>
    </row>
    <row r="31" spans="1:17">
      <c r="A31" s="439">
        <v>120</v>
      </c>
      <c r="B31" s="2" t="s">
        <v>285</v>
      </c>
      <c r="C31" s="273" t="s">
        <v>676</v>
      </c>
      <c r="D31" s="253">
        <v>146</v>
      </c>
      <c r="E31" s="254">
        <f t="shared" ref="E31:E40" si="4">D31/100*A31</f>
        <v>175.2</v>
      </c>
      <c r="F31" s="18"/>
      <c r="G31" s="43"/>
      <c r="H31" s="255">
        <f t="shared" ref="H31:H40" si="5">IF(E31=0,A31,A31/E31*J31)</f>
        <v>101.79640718562875</v>
      </c>
      <c r="I31" s="251" t="str">
        <f t="shared" ref="I31:I39" si="6">B31</f>
        <v>oeufs</v>
      </c>
      <c r="J31" s="254">
        <f t="shared" ref="J31:J39" si="7">E31*$M$18%</f>
        <v>148.62275449101796</v>
      </c>
      <c r="L31" s="154"/>
      <c r="O31" s="45"/>
      <c r="Q31"/>
    </row>
    <row r="32" spans="1:17">
      <c r="A32" s="439">
        <v>50</v>
      </c>
      <c r="B32" s="2" t="s">
        <v>657</v>
      </c>
      <c r="C32" s="249" t="s">
        <v>677</v>
      </c>
      <c r="D32" s="253">
        <v>281</v>
      </c>
      <c r="E32" s="49">
        <f t="shared" si="4"/>
        <v>140.5</v>
      </c>
      <c r="F32" s="68"/>
      <c r="G32" s="128"/>
      <c r="H32" s="55">
        <f t="shared" si="5"/>
        <v>42.415169660678643</v>
      </c>
      <c r="I32" s="2" t="str">
        <f t="shared" si="6"/>
        <v>mozzarella</v>
      </c>
      <c r="J32" s="49">
        <f t="shared" si="7"/>
        <v>119.18662674650699</v>
      </c>
      <c r="O32" s="45"/>
      <c r="Q32"/>
    </row>
    <row r="33" spans="1:17">
      <c r="A33" s="439">
        <v>75</v>
      </c>
      <c r="B33" s="2" t="s">
        <v>658</v>
      </c>
      <c r="C33" s="273" t="s">
        <v>676</v>
      </c>
      <c r="D33" s="253">
        <v>32</v>
      </c>
      <c r="E33" s="49">
        <f t="shared" si="4"/>
        <v>24</v>
      </c>
      <c r="F33" s="68"/>
      <c r="G33" s="128"/>
      <c r="H33" s="55">
        <f t="shared" si="5"/>
        <v>63.622754491017965</v>
      </c>
      <c r="I33" s="2" t="str">
        <f t="shared" si="6"/>
        <v>poivrons</v>
      </c>
      <c r="J33" s="49">
        <f t="shared" si="7"/>
        <v>20.359281437125748</v>
      </c>
      <c r="O33" s="45"/>
      <c r="Q33"/>
    </row>
    <row r="34" spans="1:17">
      <c r="A34" s="439">
        <v>3</v>
      </c>
      <c r="B34" s="2" t="s">
        <v>108</v>
      </c>
      <c r="C34" s="197" t="s">
        <v>674</v>
      </c>
      <c r="D34" s="253">
        <v>899</v>
      </c>
      <c r="E34" s="49">
        <f t="shared" si="4"/>
        <v>26.97</v>
      </c>
      <c r="F34" s="68"/>
      <c r="G34" s="128"/>
      <c r="H34" s="55">
        <f t="shared" si="5"/>
        <v>2.544910179640719</v>
      </c>
      <c r="I34" s="2" t="str">
        <f t="shared" si="6"/>
        <v>huile d'olive</v>
      </c>
      <c r="J34" s="49">
        <f t="shared" si="7"/>
        <v>22.87874251497006</v>
      </c>
      <c r="O34" s="45"/>
      <c r="Q34"/>
    </row>
    <row r="35" spans="1:17">
      <c r="A35" s="439">
        <v>2.5</v>
      </c>
      <c r="B35" s="2" t="s">
        <v>148</v>
      </c>
      <c r="C35" s="273" t="s">
        <v>676</v>
      </c>
      <c r="D35" s="253">
        <v>28</v>
      </c>
      <c r="E35" s="49">
        <f t="shared" si="4"/>
        <v>0.70000000000000007</v>
      </c>
      <c r="F35" s="68"/>
      <c r="G35" s="128"/>
      <c r="H35" s="55">
        <f t="shared" si="5"/>
        <v>2.1207584830339323</v>
      </c>
      <c r="I35" s="2" t="str">
        <f t="shared" si="6"/>
        <v>persil</v>
      </c>
      <c r="J35" s="49">
        <f t="shared" si="7"/>
        <v>0.59381237524950103</v>
      </c>
      <c r="O35" s="45"/>
      <c r="Q35"/>
    </row>
    <row r="36" spans="1:17">
      <c r="A36" s="439">
        <v>50</v>
      </c>
      <c r="B36" s="2" t="s">
        <v>644</v>
      </c>
      <c r="C36" s="273" t="s">
        <v>676</v>
      </c>
      <c r="D36" s="253">
        <v>14</v>
      </c>
      <c r="E36" s="49">
        <f t="shared" si="4"/>
        <v>7.0000000000000009</v>
      </c>
      <c r="F36" s="68"/>
      <c r="G36" s="128"/>
      <c r="H36" s="55">
        <f t="shared" si="5"/>
        <v>42.415169660678643</v>
      </c>
      <c r="I36" s="2" t="str">
        <f t="shared" si="6"/>
        <v>salade de laitue</v>
      </c>
      <c r="J36" s="49">
        <f t="shared" si="7"/>
        <v>5.9381237524950103</v>
      </c>
      <c r="O36" s="45"/>
      <c r="Q36"/>
    </row>
    <row r="37" spans="1:17">
      <c r="A37" s="439">
        <v>12</v>
      </c>
      <c r="B37" s="2" t="s">
        <v>387</v>
      </c>
      <c r="C37" s="197" t="s">
        <v>674</v>
      </c>
      <c r="D37" s="253">
        <v>472</v>
      </c>
      <c r="E37" s="49">
        <f t="shared" si="4"/>
        <v>56.64</v>
      </c>
      <c r="F37" s="68"/>
      <c r="G37" s="128"/>
      <c r="H37" s="55">
        <f t="shared" si="5"/>
        <v>10.179640718562874</v>
      </c>
      <c r="I37" s="2" t="str">
        <f t="shared" si="6"/>
        <v>sauce italienne</v>
      </c>
      <c r="J37" s="49">
        <f t="shared" si="7"/>
        <v>48.047904191616766</v>
      </c>
      <c r="O37" s="45"/>
      <c r="Q37"/>
    </row>
    <row r="38" spans="1:17">
      <c r="A38" s="439">
        <v>40</v>
      </c>
      <c r="B38" s="2" t="s">
        <v>102</v>
      </c>
      <c r="C38" s="196" t="s">
        <v>673</v>
      </c>
      <c r="D38" s="253">
        <v>229</v>
      </c>
      <c r="E38" s="49">
        <f t="shared" si="4"/>
        <v>91.6</v>
      </c>
      <c r="F38" s="68"/>
      <c r="G38" s="128"/>
      <c r="H38" s="55">
        <f t="shared" si="5"/>
        <v>33.932135728542917</v>
      </c>
      <c r="I38" s="2" t="str">
        <f t="shared" si="6"/>
        <v>pain complet</v>
      </c>
      <c r="J38" s="49">
        <f t="shared" si="7"/>
        <v>77.704590818363272</v>
      </c>
      <c r="O38" s="45"/>
      <c r="Q38"/>
    </row>
    <row r="39" spans="1:17">
      <c r="A39" s="439">
        <v>0.5</v>
      </c>
      <c r="B39" s="2" t="s">
        <v>109</v>
      </c>
      <c r="C39" s="197" t="s">
        <v>674</v>
      </c>
      <c r="D39" s="253">
        <v>0</v>
      </c>
      <c r="E39" s="49">
        <f t="shared" si="4"/>
        <v>0</v>
      </c>
      <c r="F39" s="68"/>
      <c r="G39" s="128"/>
      <c r="H39" s="55">
        <f t="shared" si="5"/>
        <v>0.5</v>
      </c>
      <c r="I39" s="2" t="str">
        <f t="shared" si="6"/>
        <v>sel</v>
      </c>
      <c r="J39" s="49">
        <f t="shared" si="7"/>
        <v>0</v>
      </c>
      <c r="O39" s="45"/>
      <c r="Q39"/>
    </row>
    <row r="40" spans="1:17">
      <c r="A40" s="439">
        <v>0.25</v>
      </c>
      <c r="B40" s="2" t="s">
        <v>116</v>
      </c>
      <c r="C40" s="199" t="s">
        <v>675</v>
      </c>
      <c r="D40" s="253">
        <v>222</v>
      </c>
      <c r="E40" s="49">
        <f t="shared" si="4"/>
        <v>0.55500000000000005</v>
      </c>
      <c r="F40" s="68"/>
      <c r="G40" s="128"/>
      <c r="H40" s="55">
        <f t="shared" si="5"/>
        <v>0.21207584830339321</v>
      </c>
      <c r="I40" s="2" t="str">
        <f>B40</f>
        <v>poivre</v>
      </c>
      <c r="J40" s="49">
        <f>E40*$M$18%</f>
        <v>0.47080838323353297</v>
      </c>
      <c r="O40" s="45"/>
      <c r="P40"/>
      <c r="Q40"/>
    </row>
    <row r="41" spans="1:17">
      <c r="A41" s="66" t="s">
        <v>127</v>
      </c>
      <c r="B41" s="63"/>
      <c r="C41" s="202"/>
      <c r="D41" s="63"/>
      <c r="E41" s="64"/>
      <c r="F41" s="18"/>
      <c r="G41" s="43"/>
      <c r="H41" s="65"/>
      <c r="I41" s="63"/>
      <c r="J41" s="67"/>
      <c r="O41" s="45"/>
      <c r="Q41"/>
    </row>
    <row r="42" spans="1:17">
      <c r="A42" s="439">
        <v>150</v>
      </c>
      <c r="B42" s="2" t="s">
        <v>4</v>
      </c>
      <c r="C42" s="199" t="s">
        <v>675</v>
      </c>
      <c r="D42" s="51">
        <v>55</v>
      </c>
      <c r="E42" s="49">
        <f>D42/100*A42</f>
        <v>82.5</v>
      </c>
      <c r="F42" s="18"/>
      <c r="G42" s="43"/>
      <c r="H42" s="55">
        <f>IF(E42=0,A42,A42/E42*J42)</f>
        <v>127.24550898203591</v>
      </c>
      <c r="I42" s="2" t="str">
        <f>B42</f>
        <v>pomme</v>
      </c>
      <c r="J42" s="49">
        <f>E42*$M$18%</f>
        <v>69.985029940119759</v>
      </c>
    </row>
    <row r="43" spans="1:17">
      <c r="A43" s="42"/>
      <c r="B43" s="131"/>
      <c r="C43" s="200"/>
      <c r="E43" s="130" t="s">
        <v>6</v>
      </c>
      <c r="F43" s="138">
        <f>SUM(E31:E42)</f>
        <v>605.66499999999985</v>
      </c>
      <c r="G43" s="128"/>
      <c r="H43" s="42"/>
      <c r="I43" s="131"/>
      <c r="J43" s="130" t="s">
        <v>6</v>
      </c>
      <c r="K43" s="336">
        <f>SUM(J31:J42)</f>
        <v>513.78767465069859</v>
      </c>
      <c r="O43" s="45"/>
      <c r="Q43"/>
    </row>
    <row r="44" spans="1:17" ht="6" customHeight="1">
      <c r="A44" s="17"/>
      <c r="B44" s="17"/>
      <c r="C44" s="188"/>
      <c r="D44" s="68"/>
      <c r="E44" s="17"/>
      <c r="F44" s="18"/>
      <c r="G44" s="43"/>
      <c r="H44" s="17"/>
      <c r="I44" s="17"/>
      <c r="J44" s="17"/>
      <c r="O44" s="45"/>
      <c r="P44"/>
      <c r="Q44"/>
    </row>
    <row r="45" spans="1:17">
      <c r="A45" s="216" t="s">
        <v>228</v>
      </c>
      <c r="B45" s="16"/>
      <c r="C45" s="209"/>
      <c r="D45" s="17"/>
      <c r="E45" s="17"/>
      <c r="F45" s="18"/>
      <c r="G45" s="43"/>
      <c r="H45" s="17"/>
      <c r="I45" s="17"/>
      <c r="J45" s="17"/>
      <c r="K45" s="335"/>
      <c r="P45"/>
      <c r="Q45"/>
    </row>
    <row r="46" spans="1:17">
      <c r="A46" s="438">
        <v>125</v>
      </c>
      <c r="B46" s="107" t="s">
        <v>206</v>
      </c>
      <c r="C46" s="196" t="s">
        <v>673</v>
      </c>
      <c r="D46" s="51">
        <v>127</v>
      </c>
      <c r="E46" s="49">
        <f>D46/100*A46</f>
        <v>158.75</v>
      </c>
      <c r="F46" s="18"/>
      <c r="G46" s="43"/>
      <c r="H46" s="55">
        <f>IF(E46=0,A46,A46/E46*J46)</f>
        <v>106.03792415169661</v>
      </c>
      <c r="I46" s="2" t="str">
        <f>B46</f>
        <v>yogourt grec</v>
      </c>
      <c r="J46" s="49">
        <f>E46*$M$18%</f>
        <v>134.66816367265469</v>
      </c>
    </row>
    <row r="47" spans="1:17">
      <c r="A47" s="439">
        <v>8</v>
      </c>
      <c r="B47" s="107" t="s">
        <v>207</v>
      </c>
      <c r="C47" s="196" t="s">
        <v>673</v>
      </c>
      <c r="D47" s="51">
        <v>306</v>
      </c>
      <c r="E47" s="49">
        <f>D47/100*A47</f>
        <v>24.48</v>
      </c>
      <c r="F47" s="18"/>
      <c r="G47" s="43"/>
      <c r="H47" s="55">
        <f>IF(E47=0,A47,A47/E47*J47)</f>
        <v>6.7864271457085827</v>
      </c>
      <c r="I47" s="2" t="str">
        <f>B47</f>
        <v>miel</v>
      </c>
      <c r="J47" s="49">
        <f>E47*$M$18%</f>
        <v>20.766467065868262</v>
      </c>
    </row>
    <row r="48" spans="1:17">
      <c r="A48" s="42"/>
      <c r="B48" s="157"/>
      <c r="C48" s="272"/>
      <c r="E48" s="130" t="s">
        <v>6</v>
      </c>
      <c r="F48" s="175">
        <f>SUM(E46:E47)</f>
        <v>183.23</v>
      </c>
      <c r="G48" s="140"/>
      <c r="H48" s="42"/>
      <c r="I48" s="131"/>
      <c r="J48" s="130" t="s">
        <v>6</v>
      </c>
      <c r="K48" s="336">
        <f>SUM(J46:J47)</f>
        <v>155.43463073852294</v>
      </c>
      <c r="O48" s="45"/>
      <c r="Q48"/>
    </row>
    <row r="49" spans="1:17">
      <c r="A49" s="216" t="s">
        <v>226</v>
      </c>
      <c r="B49" s="16"/>
      <c r="C49" s="209"/>
      <c r="D49" s="17"/>
      <c r="E49" s="17"/>
      <c r="F49" s="18"/>
      <c r="G49" s="43"/>
      <c r="H49" s="17"/>
      <c r="I49" s="17"/>
      <c r="J49" s="17"/>
      <c r="P49"/>
      <c r="Q49"/>
    </row>
    <row r="50" spans="1:17">
      <c r="A50" s="66" t="s">
        <v>642</v>
      </c>
      <c r="B50" s="257"/>
      <c r="C50" s="257"/>
      <c r="D50" s="257"/>
      <c r="E50" s="257"/>
      <c r="F50" s="257"/>
      <c r="G50" s="257"/>
      <c r="H50" s="257"/>
      <c r="I50" s="257"/>
      <c r="J50" s="258"/>
      <c r="L50" s="154"/>
      <c r="O50" s="45"/>
      <c r="Q50"/>
    </row>
    <row r="51" spans="1:17">
      <c r="A51" s="439">
        <v>100</v>
      </c>
      <c r="B51" s="2" t="s">
        <v>652</v>
      </c>
      <c r="C51" s="273" t="s">
        <v>676</v>
      </c>
      <c r="D51" s="253">
        <v>98</v>
      </c>
      <c r="E51" s="49">
        <f t="shared" ref="E51:E68" si="8">D51/100*A51</f>
        <v>98</v>
      </c>
      <c r="F51" s="68"/>
      <c r="G51" s="128"/>
      <c r="H51" s="55">
        <f t="shared" ref="H51:H68" si="9">IF(E51=0,A51,A51/E51*J51)</f>
        <v>84.830339321357286</v>
      </c>
      <c r="I51" s="2" t="str">
        <f t="shared" ref="I51:I68" si="10">B51</f>
        <v xml:space="preserve"> veau émincé</v>
      </c>
      <c r="J51" s="49">
        <f t="shared" ref="J51:J80" si="11">E51*$M$18%</f>
        <v>83.133732534930132</v>
      </c>
      <c r="O51" s="45"/>
      <c r="P51"/>
      <c r="Q51"/>
    </row>
    <row r="52" spans="1:17">
      <c r="A52" s="439">
        <v>50</v>
      </c>
      <c r="B52" s="2" t="s">
        <v>653</v>
      </c>
      <c r="C52" s="273" t="s">
        <v>676</v>
      </c>
      <c r="D52" s="253">
        <v>165</v>
      </c>
      <c r="E52" s="49">
        <f t="shared" si="8"/>
        <v>82.5</v>
      </c>
      <c r="F52" s="68"/>
      <c r="G52" s="128"/>
      <c r="H52" s="55">
        <f t="shared" si="9"/>
        <v>42.415169660678643</v>
      </c>
      <c r="I52" s="2" t="str">
        <f t="shared" si="10"/>
        <v>rognons de veau</v>
      </c>
      <c r="J52" s="49">
        <f t="shared" si="11"/>
        <v>69.985029940119759</v>
      </c>
      <c r="O52" s="45"/>
      <c r="P52"/>
      <c r="Q52"/>
    </row>
    <row r="53" spans="1:17">
      <c r="A53" s="439">
        <v>50</v>
      </c>
      <c r="B53" s="2" t="s">
        <v>355</v>
      </c>
      <c r="C53" s="273" t="s">
        <v>676</v>
      </c>
      <c r="D53" s="253">
        <v>25</v>
      </c>
      <c r="E53" s="49">
        <f t="shared" si="8"/>
        <v>12.5</v>
      </c>
      <c r="F53" s="68"/>
      <c r="G53" s="128"/>
      <c r="H53" s="55">
        <f t="shared" si="9"/>
        <v>42.415169660678643</v>
      </c>
      <c r="I53" s="2" t="str">
        <f t="shared" si="10"/>
        <v>champignons de Paris</v>
      </c>
      <c r="J53" s="49">
        <f t="shared" si="11"/>
        <v>10.603792415169661</v>
      </c>
      <c r="O53" s="45"/>
      <c r="Q53"/>
    </row>
    <row r="54" spans="1:17">
      <c r="A54" s="439">
        <v>3</v>
      </c>
      <c r="B54" s="2" t="s">
        <v>490</v>
      </c>
      <c r="C54" s="249" t="s">
        <v>677</v>
      </c>
      <c r="D54" s="253">
        <v>899</v>
      </c>
      <c r="E54" s="49">
        <f t="shared" si="8"/>
        <v>26.97</v>
      </c>
      <c r="F54" s="68"/>
      <c r="G54" s="128"/>
      <c r="H54" s="55">
        <f t="shared" si="9"/>
        <v>2.544910179640719</v>
      </c>
      <c r="I54" s="2" t="str">
        <f t="shared" si="10"/>
        <v xml:space="preserve">huile de tournesol </v>
      </c>
      <c r="J54" s="49">
        <f t="shared" si="11"/>
        <v>22.87874251497006</v>
      </c>
      <c r="L54" s="154"/>
      <c r="O54" s="45"/>
      <c r="Q54"/>
    </row>
    <row r="55" spans="1:17">
      <c r="A55" s="439">
        <v>3</v>
      </c>
      <c r="B55" s="2" t="s">
        <v>607</v>
      </c>
      <c r="C55" s="196" t="s">
        <v>673</v>
      </c>
      <c r="D55" s="253">
        <v>338</v>
      </c>
      <c r="E55" s="49">
        <f t="shared" si="8"/>
        <v>10.14</v>
      </c>
      <c r="F55" s="68"/>
      <c r="G55" s="128"/>
      <c r="H55" s="55">
        <f t="shared" si="9"/>
        <v>2.5449101796407185</v>
      </c>
      <c r="I55" s="2" t="str">
        <f t="shared" si="10"/>
        <v xml:space="preserve">farine </v>
      </c>
      <c r="J55" s="49">
        <f t="shared" si="11"/>
        <v>8.6017964071856294</v>
      </c>
      <c r="L55" s="154"/>
      <c r="O55" s="45"/>
      <c r="Q55"/>
    </row>
    <row r="56" spans="1:17">
      <c r="A56" s="439">
        <v>1</v>
      </c>
      <c r="B56" s="2" t="s">
        <v>331</v>
      </c>
      <c r="C56" s="197" t="s">
        <v>674</v>
      </c>
      <c r="D56" s="253">
        <v>0</v>
      </c>
      <c r="E56" s="49">
        <f t="shared" si="8"/>
        <v>0</v>
      </c>
      <c r="F56" s="68"/>
      <c r="G56" s="128"/>
      <c r="H56" s="55">
        <f t="shared" si="9"/>
        <v>1</v>
      </c>
      <c r="I56" s="2" t="str">
        <f t="shared" si="10"/>
        <v xml:space="preserve">sel </v>
      </c>
      <c r="J56" s="49">
        <f t="shared" si="11"/>
        <v>0</v>
      </c>
      <c r="O56" s="45"/>
      <c r="Q56"/>
    </row>
    <row r="57" spans="1:17">
      <c r="A57" s="439">
        <v>0.5</v>
      </c>
      <c r="B57" s="2" t="s">
        <v>150</v>
      </c>
      <c r="C57" s="199" t="s">
        <v>675</v>
      </c>
      <c r="D57" s="253">
        <v>222</v>
      </c>
      <c r="E57" s="49">
        <f t="shared" ref="E57:E65" si="12">D57/100*A57</f>
        <v>1.1100000000000001</v>
      </c>
      <c r="F57" s="68"/>
      <c r="G57" s="128"/>
      <c r="H57" s="55">
        <f t="shared" ref="H57:H65" si="13">IF(E57=0,A57,A57/E57*J57)</f>
        <v>0.42415169660678642</v>
      </c>
      <c r="I57" s="2" t="str">
        <f t="shared" ref="I57:I65" si="14">B57</f>
        <v xml:space="preserve">poivre </v>
      </c>
      <c r="J57" s="49">
        <f t="shared" ref="J57:J65" si="15">E57*$M$18%</f>
        <v>0.94161676646706594</v>
      </c>
      <c r="O57" s="45"/>
      <c r="Q57"/>
    </row>
    <row r="58" spans="1:17">
      <c r="A58" s="439">
        <v>0.5</v>
      </c>
      <c r="B58" s="2" t="s">
        <v>654</v>
      </c>
      <c r="C58" s="276"/>
      <c r="D58" s="253"/>
      <c r="E58" s="49">
        <f t="shared" si="12"/>
        <v>0</v>
      </c>
      <c r="F58" s="68"/>
      <c r="G58" s="128"/>
      <c r="H58" s="55">
        <f t="shared" si="13"/>
        <v>0.5</v>
      </c>
      <c r="I58" s="2" t="str">
        <f t="shared" si="14"/>
        <v>condiment en poudre</v>
      </c>
      <c r="J58" s="49">
        <f t="shared" si="15"/>
        <v>0</v>
      </c>
      <c r="O58" s="45"/>
      <c r="P58"/>
      <c r="Q58"/>
    </row>
    <row r="59" spans="1:17">
      <c r="A59" s="439">
        <v>6</v>
      </c>
      <c r="B59" s="2" t="s">
        <v>0</v>
      </c>
      <c r="C59" s="197" t="s">
        <v>674</v>
      </c>
      <c r="D59" s="253">
        <v>747</v>
      </c>
      <c r="E59" s="49">
        <f t="shared" si="12"/>
        <v>44.82</v>
      </c>
      <c r="F59" s="68"/>
      <c r="G59" s="128"/>
      <c r="H59" s="55">
        <f t="shared" si="13"/>
        <v>5.0898203592814371</v>
      </c>
      <c r="I59" s="2" t="str">
        <f t="shared" si="14"/>
        <v>beurre</v>
      </c>
      <c r="J59" s="49">
        <f t="shared" si="15"/>
        <v>38.020958083832333</v>
      </c>
      <c r="O59" s="45"/>
      <c r="P59"/>
      <c r="Q59"/>
    </row>
    <row r="60" spans="1:17">
      <c r="A60" s="439">
        <v>25</v>
      </c>
      <c r="B60" s="2" t="s">
        <v>655</v>
      </c>
      <c r="C60" s="273" t="s">
        <v>676</v>
      </c>
      <c r="D60" s="253">
        <v>29</v>
      </c>
      <c r="E60" s="49">
        <f t="shared" si="12"/>
        <v>7.2499999999999991</v>
      </c>
      <c r="F60" s="68"/>
      <c r="G60" s="128"/>
      <c r="H60" s="55">
        <f t="shared" si="13"/>
        <v>21.207584830339322</v>
      </c>
      <c r="I60" s="2" t="str">
        <f t="shared" si="14"/>
        <v xml:space="preserve">oignon </v>
      </c>
      <c r="J60" s="49">
        <f t="shared" si="15"/>
        <v>6.1501996007984028</v>
      </c>
      <c r="O60" s="45"/>
      <c r="P60"/>
      <c r="Q60"/>
    </row>
    <row r="61" spans="1:17">
      <c r="A61" s="439">
        <v>1</v>
      </c>
      <c r="B61" s="2" t="s">
        <v>468</v>
      </c>
      <c r="C61" s="273" t="s">
        <v>676</v>
      </c>
      <c r="D61" s="253">
        <v>17</v>
      </c>
      <c r="E61" s="49">
        <f t="shared" si="12"/>
        <v>0.17</v>
      </c>
      <c r="F61" s="68"/>
      <c r="G61" s="128"/>
      <c r="H61" s="55">
        <f t="shared" si="13"/>
        <v>0.84830339321357284</v>
      </c>
      <c r="I61" s="2" t="str">
        <f t="shared" si="14"/>
        <v xml:space="preserve">jus de citron </v>
      </c>
      <c r="J61" s="49">
        <f t="shared" si="15"/>
        <v>0.14421157684630739</v>
      </c>
      <c r="O61" s="45"/>
      <c r="P61"/>
      <c r="Q61"/>
    </row>
    <row r="62" spans="1:17">
      <c r="A62" s="439">
        <v>25</v>
      </c>
      <c r="B62" s="2" t="s">
        <v>317</v>
      </c>
      <c r="C62" s="276"/>
      <c r="D62" s="253"/>
      <c r="E62" s="49">
        <f t="shared" si="12"/>
        <v>0</v>
      </c>
      <c r="F62" s="68"/>
      <c r="G62" s="128"/>
      <c r="H62" s="55">
        <f t="shared" si="13"/>
        <v>25</v>
      </c>
      <c r="I62" s="2" t="str">
        <f t="shared" si="14"/>
        <v>vin blanc</v>
      </c>
      <c r="J62" s="49">
        <f t="shared" si="15"/>
        <v>0</v>
      </c>
      <c r="O62" s="45"/>
      <c r="P62"/>
      <c r="Q62"/>
    </row>
    <row r="63" spans="1:17">
      <c r="A63" s="439">
        <v>25</v>
      </c>
      <c r="B63" s="2" t="s">
        <v>656</v>
      </c>
      <c r="C63" s="273" t="s">
        <v>676</v>
      </c>
      <c r="D63" s="253">
        <v>9</v>
      </c>
      <c r="E63" s="49">
        <f t="shared" si="12"/>
        <v>2.25</v>
      </c>
      <c r="F63" s="68"/>
      <c r="G63" s="128"/>
      <c r="H63" s="55">
        <f t="shared" si="13"/>
        <v>21.207584830339322</v>
      </c>
      <c r="I63" s="2" t="str">
        <f t="shared" si="14"/>
        <v>bouillon</v>
      </c>
      <c r="J63" s="49">
        <f t="shared" si="15"/>
        <v>1.908682634730539</v>
      </c>
      <c r="O63" s="45"/>
      <c r="P63"/>
      <c r="Q63"/>
    </row>
    <row r="64" spans="1:17">
      <c r="A64" s="439">
        <f>150/4</f>
        <v>37.5</v>
      </c>
      <c r="B64" s="2" t="s">
        <v>145</v>
      </c>
      <c r="C64" s="197" t="s">
        <v>674</v>
      </c>
      <c r="D64" s="253">
        <v>252</v>
      </c>
      <c r="E64" s="49">
        <f t="shared" si="12"/>
        <v>94.5</v>
      </c>
      <c r="F64" s="68"/>
      <c r="G64" s="128"/>
      <c r="H64" s="55">
        <f t="shared" si="13"/>
        <v>31.811377245508982</v>
      </c>
      <c r="I64" s="2" t="str">
        <f t="shared" si="14"/>
        <v>crème</v>
      </c>
      <c r="J64" s="49">
        <f t="shared" si="15"/>
        <v>80.164670658682638</v>
      </c>
      <c r="O64" s="45"/>
      <c r="P64"/>
      <c r="Q64"/>
    </row>
    <row r="65" spans="1:17">
      <c r="A65" s="439">
        <v>3</v>
      </c>
      <c r="B65" s="2" t="s">
        <v>184</v>
      </c>
      <c r="C65" s="196" t="s">
        <v>673</v>
      </c>
      <c r="D65" s="253">
        <v>353</v>
      </c>
      <c r="E65" s="49">
        <f t="shared" si="12"/>
        <v>10.59</v>
      </c>
      <c r="F65" s="68"/>
      <c r="G65" s="128"/>
      <c r="H65" s="55">
        <f t="shared" si="13"/>
        <v>2.5449101796407185</v>
      </c>
      <c r="I65" s="2" t="str">
        <f t="shared" si="14"/>
        <v>maïzena</v>
      </c>
      <c r="J65" s="49">
        <f t="shared" si="15"/>
        <v>8.9835329341317358</v>
      </c>
      <c r="O65" s="45"/>
      <c r="P65"/>
      <c r="Q65"/>
    </row>
    <row r="66" spans="1:17">
      <c r="A66" s="439">
        <v>2.5</v>
      </c>
      <c r="B66" s="2" t="s">
        <v>148</v>
      </c>
      <c r="C66" s="273" t="s">
        <v>676</v>
      </c>
      <c r="D66" s="253">
        <v>28</v>
      </c>
      <c r="E66" s="49">
        <f t="shared" si="8"/>
        <v>0.70000000000000007</v>
      </c>
      <c r="F66" s="68"/>
      <c r="G66" s="128"/>
      <c r="H66" s="55">
        <f t="shared" si="9"/>
        <v>2.1207584830339323</v>
      </c>
      <c r="I66" s="2" t="str">
        <f t="shared" si="10"/>
        <v>persil</v>
      </c>
      <c r="J66" s="49">
        <f t="shared" si="11"/>
        <v>0.59381237524950103</v>
      </c>
      <c r="O66" s="45"/>
      <c r="P66"/>
      <c r="Q66"/>
    </row>
    <row r="67" spans="1:17">
      <c r="A67" s="439">
        <v>150</v>
      </c>
      <c r="B67" s="2" t="s">
        <v>189</v>
      </c>
      <c r="C67" s="273" t="s">
        <v>676</v>
      </c>
      <c r="D67" s="253">
        <v>76</v>
      </c>
      <c r="E67" s="49">
        <f t="shared" si="8"/>
        <v>114</v>
      </c>
      <c r="F67" s="68"/>
      <c r="G67" s="128"/>
      <c r="H67" s="55">
        <f t="shared" si="9"/>
        <v>127.24550898203594</v>
      </c>
      <c r="I67" s="2" t="str">
        <f t="shared" si="10"/>
        <v>pommes de terre</v>
      </c>
      <c r="J67" s="49">
        <f t="shared" si="11"/>
        <v>96.706586826347305</v>
      </c>
      <c r="L67" s="154"/>
      <c r="O67" s="45"/>
      <c r="P67"/>
      <c r="Q67"/>
    </row>
    <row r="68" spans="1:17">
      <c r="A68" s="439">
        <v>3</v>
      </c>
      <c r="B68" s="251" t="s">
        <v>108</v>
      </c>
      <c r="C68" s="197" t="s">
        <v>674</v>
      </c>
      <c r="D68" s="253">
        <v>899</v>
      </c>
      <c r="E68" s="49">
        <f t="shared" si="8"/>
        <v>26.97</v>
      </c>
      <c r="F68" s="68"/>
      <c r="G68" s="128"/>
      <c r="H68" s="55">
        <f t="shared" si="9"/>
        <v>2.544910179640719</v>
      </c>
      <c r="I68" s="2" t="str">
        <f t="shared" si="10"/>
        <v>huile d'olive</v>
      </c>
      <c r="J68" s="49">
        <f t="shared" si="11"/>
        <v>22.87874251497006</v>
      </c>
      <c r="L68" s="154"/>
      <c r="O68" s="45"/>
      <c r="P68"/>
      <c r="Q68"/>
    </row>
    <row r="69" spans="1:17">
      <c r="A69" s="42"/>
      <c r="B69" s="131"/>
      <c r="C69" s="201"/>
      <c r="E69" s="130" t="s">
        <v>6</v>
      </c>
      <c r="F69" s="138">
        <f>SUM(E51:E68)</f>
        <v>532.47</v>
      </c>
      <c r="G69" s="140"/>
      <c r="H69" s="42"/>
      <c r="I69" s="131"/>
      <c r="J69" s="130" t="s">
        <v>6</v>
      </c>
      <c r="K69" s="336">
        <f>SUM(J51:J68)</f>
        <v>451.69610778443109</v>
      </c>
      <c r="L69" s="154"/>
      <c r="O69" s="45"/>
      <c r="Q69"/>
    </row>
    <row r="70" spans="1:17">
      <c r="A70" s="66" t="s">
        <v>646</v>
      </c>
      <c r="B70" s="257"/>
      <c r="C70" s="257"/>
      <c r="D70" s="257"/>
      <c r="E70" s="257"/>
      <c r="F70" s="259"/>
      <c r="G70" s="260"/>
      <c r="H70" s="257"/>
      <c r="I70" s="257"/>
      <c r="J70" s="258"/>
      <c r="L70" s="154"/>
      <c r="O70" s="45"/>
      <c r="Q70"/>
    </row>
    <row r="71" spans="1:17">
      <c r="A71" s="439">
        <v>75</v>
      </c>
      <c r="B71" s="2" t="s">
        <v>286</v>
      </c>
      <c r="C71" s="197" t="s">
        <v>674</v>
      </c>
      <c r="D71" s="253">
        <v>252</v>
      </c>
      <c r="E71" s="49">
        <f t="shared" ref="E71:E78" si="16">D71/100*A71</f>
        <v>189</v>
      </c>
      <c r="F71" s="68"/>
      <c r="G71" s="128"/>
      <c r="H71" s="55">
        <f>IF(E71=0,A71,A71/E71*J71)</f>
        <v>63.622754491017965</v>
      </c>
      <c r="I71" s="2" t="str">
        <f>B71</f>
        <v>crème liquide</v>
      </c>
      <c r="J71" s="49">
        <f t="shared" si="11"/>
        <v>160.32934131736528</v>
      </c>
      <c r="K71" s="241"/>
      <c r="L71" s="154"/>
      <c r="O71" s="45"/>
      <c r="P71"/>
      <c r="Q71"/>
    </row>
    <row r="72" spans="1:17">
      <c r="A72" s="439">
        <v>50</v>
      </c>
      <c r="B72" s="2" t="s">
        <v>647</v>
      </c>
      <c r="C72" s="273" t="s">
        <v>676</v>
      </c>
      <c r="D72" s="253">
        <v>33</v>
      </c>
      <c r="E72" s="49">
        <f t="shared" ref="E72:E75" si="17">D72/100*A72</f>
        <v>16.5</v>
      </c>
      <c r="F72" s="68"/>
      <c r="G72" s="128"/>
      <c r="H72" s="55">
        <f t="shared" ref="H72:H75" si="18">IF(E72=0,A72,A72/E72*J72)</f>
        <v>42.415169660678643</v>
      </c>
      <c r="I72" s="2" t="str">
        <f t="shared" ref="I72:I75" si="19">B72</f>
        <v xml:space="preserve"> lait écrémé</v>
      </c>
      <c r="J72" s="49">
        <f t="shared" ref="J72:J75" si="20">E72*$M$18%</f>
        <v>13.997005988023952</v>
      </c>
      <c r="K72" s="241"/>
      <c r="L72" s="154"/>
      <c r="O72" s="45"/>
      <c r="P72"/>
      <c r="Q72"/>
    </row>
    <row r="73" spans="1:17">
      <c r="A73" s="439">
        <v>11</v>
      </c>
      <c r="B73" s="2" t="s">
        <v>250</v>
      </c>
      <c r="C73" s="197" t="s">
        <v>674</v>
      </c>
      <c r="D73" s="253">
        <v>400</v>
      </c>
      <c r="E73" s="49">
        <f t="shared" si="17"/>
        <v>44</v>
      </c>
      <c r="F73" s="68"/>
      <c r="G73" s="128"/>
      <c r="H73" s="55">
        <f t="shared" si="18"/>
        <v>9.3313373253493008</v>
      </c>
      <c r="I73" s="2" t="str">
        <f t="shared" si="19"/>
        <v xml:space="preserve">sucre </v>
      </c>
      <c r="J73" s="49">
        <f t="shared" si="20"/>
        <v>37.325349301397203</v>
      </c>
      <c r="K73" s="241"/>
      <c r="L73" s="154"/>
      <c r="O73" s="45"/>
      <c r="P73"/>
      <c r="Q73"/>
    </row>
    <row r="74" spans="1:17">
      <c r="A74" s="439">
        <v>1.5</v>
      </c>
      <c r="B74" s="2" t="s">
        <v>648</v>
      </c>
      <c r="C74" s="196" t="s">
        <v>673</v>
      </c>
      <c r="D74" s="253">
        <v>338</v>
      </c>
      <c r="E74" s="49">
        <f t="shared" si="17"/>
        <v>5.07</v>
      </c>
      <c r="F74" s="68"/>
      <c r="G74" s="128"/>
      <c r="H74" s="55">
        <f t="shared" si="18"/>
        <v>1.2724550898203593</v>
      </c>
      <c r="I74" s="2" t="str">
        <f t="shared" si="19"/>
        <v>gélatine</v>
      </c>
      <c r="J74" s="49">
        <f t="shared" si="20"/>
        <v>4.3008982035928147</v>
      </c>
      <c r="K74" s="241"/>
      <c r="O74" s="45"/>
      <c r="P74"/>
      <c r="Q74"/>
    </row>
    <row r="75" spans="1:17">
      <c r="A75" s="439">
        <v>2</v>
      </c>
      <c r="B75" s="2" t="s">
        <v>649</v>
      </c>
      <c r="C75" s="273" t="s">
        <v>676</v>
      </c>
      <c r="D75" s="253">
        <v>30</v>
      </c>
      <c r="E75" s="49">
        <f t="shared" si="17"/>
        <v>0.6</v>
      </c>
      <c r="F75" s="68"/>
      <c r="G75" s="128"/>
      <c r="H75" s="55">
        <f t="shared" si="18"/>
        <v>1.6966067864271459</v>
      </c>
      <c r="I75" s="2" t="str">
        <f t="shared" si="19"/>
        <v>citron vert)</v>
      </c>
      <c r="J75" s="49">
        <f t="shared" si="20"/>
        <v>0.50898203592814373</v>
      </c>
      <c r="K75" s="241"/>
      <c r="O75" s="45"/>
      <c r="P75"/>
      <c r="Q75"/>
    </row>
    <row r="76" spans="1:17">
      <c r="A76" s="439">
        <v>25</v>
      </c>
      <c r="B76" s="2" t="s">
        <v>650</v>
      </c>
      <c r="C76" s="273" t="s">
        <v>676</v>
      </c>
      <c r="D76" s="253">
        <v>43</v>
      </c>
      <c r="E76" s="49">
        <f t="shared" si="16"/>
        <v>10.75</v>
      </c>
      <c r="F76" s="68"/>
      <c r="G76" s="128"/>
      <c r="H76" s="55">
        <f t="shared" ref="H76:H77" si="21">IF(E76=0,A76,A76/E76*J76)</f>
        <v>21.207584830339322</v>
      </c>
      <c r="I76" s="2" t="str">
        <f t="shared" ref="I76:I77" si="22">B76</f>
        <v>pêche blanche</v>
      </c>
      <c r="J76" s="49">
        <f t="shared" si="11"/>
        <v>9.1192614770459084</v>
      </c>
      <c r="K76" s="241"/>
      <c r="O76" s="45"/>
      <c r="P76"/>
      <c r="Q76"/>
    </row>
    <row r="77" spans="1:17">
      <c r="A77" s="439">
        <v>25</v>
      </c>
      <c r="B77" s="2" t="s">
        <v>651</v>
      </c>
      <c r="C77" s="273" t="s">
        <v>676</v>
      </c>
      <c r="D77" s="253">
        <v>43</v>
      </c>
      <c r="E77" s="49">
        <f t="shared" si="16"/>
        <v>10.75</v>
      </c>
      <c r="F77" s="68"/>
      <c r="G77" s="128"/>
      <c r="H77" s="55">
        <f t="shared" si="21"/>
        <v>21.207584830339322</v>
      </c>
      <c r="I77" s="2" t="str">
        <f t="shared" si="22"/>
        <v>pêche jaune</v>
      </c>
      <c r="J77" s="49">
        <f t="shared" si="11"/>
        <v>9.1192614770459084</v>
      </c>
      <c r="K77" s="241"/>
      <c r="O77" s="45"/>
      <c r="P77"/>
      <c r="Q77"/>
    </row>
    <row r="78" spans="1:17">
      <c r="A78" s="439">
        <v>1</v>
      </c>
      <c r="B78" s="2" t="s">
        <v>645</v>
      </c>
      <c r="C78" s="199" t="s">
        <v>675</v>
      </c>
      <c r="D78" s="253">
        <v>301</v>
      </c>
      <c r="E78" s="49">
        <f t="shared" si="16"/>
        <v>3.01</v>
      </c>
      <c r="F78" s="68"/>
      <c r="G78" s="128"/>
      <c r="H78" s="55">
        <f>IF(E78=0,A78,A78/E78*J78)</f>
        <v>0.84830339321357273</v>
      </c>
      <c r="I78" s="2" t="str">
        <f>B78</f>
        <v>poivre noir en grains</v>
      </c>
      <c r="J78" s="49">
        <f>E78*$M$18%</f>
        <v>2.5533932135728539</v>
      </c>
      <c r="K78" s="241"/>
      <c r="O78" s="45"/>
      <c r="P78"/>
      <c r="Q78"/>
    </row>
    <row r="79" spans="1:17">
      <c r="A79" s="42"/>
      <c r="B79" s="131"/>
      <c r="C79" s="201"/>
      <c r="E79" s="143" t="s">
        <v>6</v>
      </c>
      <c r="F79" s="175">
        <f>SUM(E71:E78)</f>
        <v>279.67999999999995</v>
      </c>
      <c r="G79" s="25"/>
      <c r="H79" s="42"/>
      <c r="I79" s="131"/>
      <c r="J79" s="143" t="s">
        <v>6</v>
      </c>
      <c r="K79" s="336">
        <f>SUM(J71:J79)</f>
        <v>237.25349301397208</v>
      </c>
      <c r="O79" s="45"/>
      <c r="Q79"/>
    </row>
    <row r="80" spans="1:17">
      <c r="A80" s="54">
        <f>IF(D5="non",0,IF(D5="1 verre",125,250))</f>
        <v>0</v>
      </c>
      <c r="B80" s="2" t="str">
        <f>IF(A80=0,"","vin")</f>
        <v/>
      </c>
      <c r="C80" s="203"/>
      <c r="D80" s="51">
        <v>80</v>
      </c>
      <c r="E80" s="49">
        <f>D80/100*A80</f>
        <v>0</v>
      </c>
      <c r="G80" s="142"/>
      <c r="H80" s="55">
        <f>IF(E80=0,A80,A80/E80*J80)</f>
        <v>0</v>
      </c>
      <c r="I80" s="2" t="str">
        <f>B80</f>
        <v/>
      </c>
      <c r="J80" s="49">
        <f t="shared" si="11"/>
        <v>0</v>
      </c>
      <c r="K80" s="335"/>
      <c r="O80" s="45"/>
      <c r="P80"/>
      <c r="Q80"/>
    </row>
    <row r="81" spans="1:17" ht="6" customHeight="1">
      <c r="A81" s="17"/>
      <c r="B81" s="17"/>
      <c r="C81" s="188"/>
      <c r="D81" s="68"/>
      <c r="E81" s="17"/>
      <c r="F81" s="18"/>
      <c r="G81" s="204"/>
      <c r="H81" s="17"/>
      <c r="I81" s="17"/>
      <c r="J81" s="17"/>
      <c r="K81" s="335"/>
      <c r="P81"/>
      <c r="Q81"/>
    </row>
    <row r="82" spans="1:17">
      <c r="A82" s="17"/>
      <c r="B82" s="17"/>
      <c r="C82" s="188"/>
      <c r="D82" s="69" t="s">
        <v>129</v>
      </c>
      <c r="F82" s="138">
        <f>SUM(F22:F79)</f>
        <v>2003.6149999999998</v>
      </c>
      <c r="G82" s="204"/>
      <c r="H82" s="17"/>
      <c r="I82" s="69" t="s">
        <v>129</v>
      </c>
      <c r="K82" s="336">
        <f>SUM(K22:K79)</f>
        <v>1699.6734031936128</v>
      </c>
      <c r="P82"/>
      <c r="Q82"/>
    </row>
    <row r="83" spans="1:17">
      <c r="A83" s="17"/>
      <c r="B83" s="17"/>
      <c r="C83" s="188"/>
      <c r="D83" s="18" t="s">
        <v>130</v>
      </c>
      <c r="E83" s="25"/>
      <c r="F83" s="144">
        <f>F82+E80</f>
        <v>2003.6149999999998</v>
      </c>
      <c r="G83" s="43"/>
      <c r="H83" s="42"/>
      <c r="I83" s="18" t="s">
        <v>130</v>
      </c>
      <c r="J83" s="25"/>
      <c r="K83" s="336">
        <f>K82+J80</f>
        <v>1699.6734031936128</v>
      </c>
      <c r="P83"/>
      <c r="Q83"/>
    </row>
    <row r="84" spans="1:17">
      <c r="A84" s="17"/>
      <c r="B84" s="16"/>
      <c r="C84" s="188"/>
      <c r="D84" s="17"/>
      <c r="E84" s="17"/>
      <c r="F84" s="205"/>
      <c r="G84" s="43"/>
      <c r="H84" s="17"/>
      <c r="I84" s="17"/>
      <c r="J84" s="17"/>
      <c r="P84"/>
      <c r="Q84"/>
    </row>
    <row r="85" spans="1:17" ht="19">
      <c r="A85" s="118" t="s">
        <v>100</v>
      </c>
      <c r="B85" s="491" t="s">
        <v>99</v>
      </c>
      <c r="C85" s="491"/>
      <c r="D85" s="17"/>
      <c r="E85" s="17"/>
      <c r="F85" s="18"/>
      <c r="G85" s="18"/>
      <c r="H85" s="17"/>
      <c r="I85" s="17"/>
      <c r="J85" s="17"/>
      <c r="P85"/>
      <c r="Q85"/>
    </row>
    <row r="86" spans="1:17" ht="409" customHeight="1">
      <c r="A86" s="17"/>
      <c r="B86" s="16"/>
      <c r="C86" s="228"/>
      <c r="D86" s="17"/>
      <c r="E86" s="17"/>
      <c r="F86" s="18"/>
      <c r="G86" s="18"/>
      <c r="H86" s="17"/>
      <c r="I86" s="17"/>
      <c r="J86" s="17"/>
      <c r="K86" s="18"/>
      <c r="P86"/>
      <c r="Q86"/>
    </row>
    <row r="87" spans="1:17">
      <c r="A87" s="17"/>
      <c r="B87" s="16"/>
      <c r="C87" s="188"/>
      <c r="D87" s="17"/>
      <c r="E87" s="17"/>
      <c r="F87" s="18"/>
      <c r="G87" s="18"/>
      <c r="H87" s="17"/>
      <c r="I87" s="17"/>
      <c r="J87" s="17"/>
      <c r="P87"/>
      <c r="Q87"/>
    </row>
    <row r="88" spans="1:17">
      <c r="A88" s="17"/>
      <c r="B88" s="16"/>
      <c r="C88" s="188"/>
      <c r="D88" s="17"/>
      <c r="E88" s="17"/>
      <c r="F88" s="18"/>
      <c r="G88" s="18"/>
      <c r="H88" s="17"/>
      <c r="I88" s="17"/>
      <c r="J88" s="17"/>
      <c r="P88"/>
      <c r="Q88"/>
    </row>
    <row r="89" spans="1:17">
      <c r="F89" s="18"/>
      <c r="G89" s="18"/>
      <c r="N89"/>
      <c r="O89"/>
      <c r="P89"/>
      <c r="Q89"/>
    </row>
    <row r="90" spans="1:17">
      <c r="F90" s="206"/>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N98"/>
      <c r="O98"/>
      <c r="P98"/>
      <c r="Q98"/>
    </row>
    <row r="99" spans="2:17">
      <c r="B99"/>
      <c r="C99"/>
      <c r="N99"/>
      <c r="O99"/>
      <c r="P99"/>
      <c r="Q99"/>
    </row>
    <row r="100" spans="2:17">
      <c r="B100"/>
      <c r="C100"/>
      <c r="N100"/>
      <c r="O100"/>
      <c r="P100"/>
      <c r="Q100"/>
    </row>
    <row r="101" spans="2:17">
      <c r="B101"/>
      <c r="C101"/>
      <c r="N101"/>
      <c r="O101"/>
      <c r="P101"/>
      <c r="Q101"/>
    </row>
    <row r="102" spans="2:17">
      <c r="B102"/>
      <c r="C102"/>
      <c r="N102"/>
      <c r="O102"/>
      <c r="P102"/>
      <c r="Q102"/>
    </row>
    <row r="103" spans="2:17">
      <c r="B103"/>
      <c r="C103"/>
      <c r="N103"/>
      <c r="O103"/>
      <c r="P103"/>
      <c r="Q103"/>
    </row>
    <row r="104" spans="2:17">
      <c r="B104"/>
      <c r="C104"/>
      <c r="N104"/>
      <c r="O104"/>
      <c r="P104"/>
      <c r="Q104"/>
    </row>
    <row r="105" spans="2:17">
      <c r="B105"/>
      <c r="C105"/>
      <c r="F105"/>
      <c r="G105"/>
      <c r="K105" s="235"/>
      <c r="N105"/>
      <c r="O105"/>
      <c r="P105"/>
      <c r="Q105"/>
    </row>
    <row r="106" spans="2:17">
      <c r="B106"/>
      <c r="C106"/>
      <c r="F106"/>
      <c r="G106"/>
      <c r="K106" s="235"/>
      <c r="N106"/>
      <c r="O106"/>
      <c r="P106"/>
      <c r="Q106"/>
    </row>
    <row r="107" spans="2:17">
      <c r="B107"/>
      <c r="C107"/>
      <c r="F107"/>
      <c r="G107"/>
      <c r="K107" s="235"/>
      <c r="N107"/>
      <c r="O107"/>
      <c r="P107"/>
      <c r="Q107"/>
    </row>
    <row r="108" spans="2:17">
      <c r="B108"/>
      <c r="C108"/>
      <c r="F108"/>
      <c r="G108"/>
      <c r="K108" s="235"/>
      <c r="N108"/>
      <c r="O108"/>
      <c r="P108"/>
      <c r="Q108"/>
    </row>
    <row r="109" spans="2:17">
      <c r="B109"/>
      <c r="C109"/>
      <c r="F109"/>
      <c r="G109"/>
      <c r="K109" s="235"/>
      <c r="N109"/>
      <c r="O109"/>
      <c r="P109"/>
      <c r="Q109"/>
    </row>
  </sheetData>
  <sheetProtection password="A5F4" sheet="1" objects="1" scenarios="1" selectLockedCells="1"/>
  <mergeCells count="8">
    <mergeCell ref="B85:C85"/>
    <mergeCell ref="D8:J8"/>
    <mergeCell ref="B15:J15"/>
    <mergeCell ref="A18:A19"/>
    <mergeCell ref="B18:B19"/>
    <mergeCell ref="D18:E18"/>
    <mergeCell ref="H18:H19"/>
    <mergeCell ref="I18:I19"/>
  </mergeCells>
  <dataValidations count="1">
    <dataValidation allowBlank="1" showErrorMessage="1" promptTitle="Modification des quantités" prompt="Vous pouvez diminuer ou augmenter la quantité,._x000d_Si vous désirez supprimer l'aliment, inscrivez 0 (zéro)." sqref="A1:A1048576"/>
  </dataValidations>
  <hyperlinks>
    <hyperlink ref="B85" location="sommaire!A1" display="RETOUR AU SOMMAIRE"/>
    <hyperlink ref="C85" location="sommaire!A1" display="sommaire!A1"/>
  </hyperlinks>
  <pageMargins left="0.75" right="0.75" top="1" bottom="1" header="0.5" footer="0.5"/>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2"/>
  <sheetViews>
    <sheetView workbookViewId="0">
      <selection activeCell="D5" sqref="D5"/>
    </sheetView>
  </sheetViews>
  <sheetFormatPr baseColWidth="10" defaultRowHeight="15" x14ac:dyDescent="0"/>
  <cols>
    <col min="1" max="1" width="6.33203125" customWidth="1"/>
    <col min="2" max="2" width="24.6640625" style="5" customWidth="1"/>
    <col min="3" max="3" width="3.5" style="172" customWidth="1"/>
    <col min="4" max="4" width="8.1640625" customWidth="1"/>
    <col min="5" max="5" width="6.33203125" customWidth="1"/>
    <col min="6" max="6" width="6.33203125" style="136" customWidth="1"/>
    <col min="7" max="7" width="1.83203125" style="136" customWidth="1"/>
    <col min="8" max="8" width="6.6640625" customWidth="1"/>
    <col min="9" max="9" width="24.5" customWidth="1"/>
    <col min="10" max="10" width="8.33203125" customWidth="1"/>
    <col min="11" max="11" width="6.6640625" style="228" customWidth="1"/>
    <col min="12" max="12" width="166.33203125" style="242" customWidth="1"/>
    <col min="13" max="13" width="6.6640625" style="407" customWidth="1"/>
    <col min="14" max="14" width="3.33203125" style="44" customWidth="1"/>
    <col min="15" max="17" width="10.83203125" style="44"/>
  </cols>
  <sheetData>
    <row r="1" spans="1:17" ht="19">
      <c r="A1" s="207" t="s">
        <v>820</v>
      </c>
      <c r="B1" s="120"/>
      <c r="C1" s="187"/>
      <c r="D1" s="121"/>
      <c r="E1" s="121"/>
      <c r="F1" s="122"/>
      <c r="G1" s="122"/>
      <c r="H1" s="122"/>
      <c r="I1" s="123" t="s">
        <v>101</v>
      </c>
      <c r="J1" s="266" t="s">
        <v>676</v>
      </c>
      <c r="N1"/>
      <c r="O1"/>
      <c r="P1"/>
      <c r="Q1"/>
    </row>
    <row r="2" spans="1:17">
      <c r="A2" s="17"/>
      <c r="B2" s="16" t="s">
        <v>12</v>
      </c>
      <c r="C2" s="188"/>
      <c r="D2" s="17"/>
      <c r="E2" s="17"/>
      <c r="F2" s="18"/>
      <c r="G2" s="18"/>
      <c r="H2" s="17"/>
      <c r="I2" s="17"/>
      <c r="J2" s="17"/>
      <c r="N2"/>
      <c r="O2"/>
      <c r="P2"/>
      <c r="Q2"/>
    </row>
    <row r="3" spans="1:17">
      <c r="A3" s="16" t="s">
        <v>19</v>
      </c>
      <c r="B3" s="16"/>
      <c r="C3" s="188"/>
      <c r="D3" s="15">
        <f>ROUND(F75,0)</f>
        <v>1998</v>
      </c>
      <c r="E3" s="17" t="s">
        <v>9</v>
      </c>
      <c r="F3" s="18"/>
      <c r="G3" s="18"/>
      <c r="H3" s="42"/>
      <c r="I3" s="42"/>
      <c r="J3" s="42"/>
      <c r="N3"/>
      <c r="O3"/>
      <c r="P3"/>
      <c r="Q3"/>
    </row>
    <row r="4" spans="1:17" ht="12" customHeight="1">
      <c r="A4" s="24" t="s">
        <v>26</v>
      </c>
      <c r="B4" s="16"/>
      <c r="C4" s="188"/>
      <c r="D4" s="19"/>
      <c r="E4" s="17"/>
      <c r="F4" s="18"/>
      <c r="G4" s="18"/>
      <c r="H4" s="17"/>
      <c r="I4" s="17"/>
      <c r="J4" s="17"/>
      <c r="N4"/>
      <c r="O4"/>
      <c r="P4"/>
      <c r="Q4"/>
    </row>
    <row r="5" spans="1:17">
      <c r="A5" s="16" t="s">
        <v>29</v>
      </c>
      <c r="B5" s="16"/>
      <c r="C5" s="189" t="s">
        <v>25</v>
      </c>
      <c r="D5" s="455" t="s">
        <v>10</v>
      </c>
      <c r="E5" s="17" t="str">
        <f>IF(D5="non","",IF(D5=1,d!B22,d!B23))</f>
        <v/>
      </c>
      <c r="F5" s="18"/>
      <c r="G5" s="18"/>
      <c r="H5" s="17"/>
      <c r="I5" s="17"/>
      <c r="J5" s="17"/>
      <c r="N5"/>
      <c r="O5"/>
      <c r="P5"/>
      <c r="Q5"/>
    </row>
    <row r="6" spans="1:17">
      <c r="A6" s="16" t="s">
        <v>18</v>
      </c>
      <c r="B6" s="16"/>
      <c r="C6" s="188"/>
      <c r="D6" s="437">
        <v>0</v>
      </c>
      <c r="E6" s="17" t="s">
        <v>9</v>
      </c>
      <c r="F6" s="98"/>
      <c r="G6" s="414" t="s">
        <v>100</v>
      </c>
      <c r="H6" s="415" t="s">
        <v>33</v>
      </c>
      <c r="I6" s="17"/>
      <c r="J6" s="17"/>
      <c r="N6"/>
      <c r="O6"/>
      <c r="P6"/>
      <c r="Q6"/>
    </row>
    <row r="7" spans="1:17">
      <c r="A7" s="21" t="s">
        <v>35</v>
      </c>
      <c r="B7" s="16"/>
      <c r="C7" s="189"/>
      <c r="D7" s="74">
        <f>jour_1!D7</f>
        <v>1700</v>
      </c>
      <c r="E7" s="17" t="s">
        <v>9</v>
      </c>
      <c r="F7" s="18"/>
      <c r="G7" s="416"/>
      <c r="H7" s="417" t="s">
        <v>816</v>
      </c>
      <c r="I7" s="17"/>
      <c r="J7" s="17"/>
      <c r="N7"/>
      <c r="O7"/>
      <c r="P7"/>
      <c r="Q7"/>
    </row>
    <row r="8" spans="1:17" ht="45" customHeight="1">
      <c r="A8" s="17"/>
      <c r="B8" s="16"/>
      <c r="C8" s="188"/>
      <c r="D8" s="480" t="str">
        <f>IF(D5="non","",d!A24)</f>
        <v/>
      </c>
      <c r="E8" s="480"/>
      <c r="F8" s="480"/>
      <c r="G8" s="480"/>
      <c r="H8" s="480"/>
      <c r="I8" s="480"/>
      <c r="J8" s="480"/>
      <c r="K8" s="334"/>
      <c r="L8" s="243"/>
      <c r="N8"/>
      <c r="O8"/>
      <c r="P8"/>
      <c r="Q8"/>
    </row>
    <row r="9" spans="1:17" ht="6" customHeight="1">
      <c r="A9" s="17"/>
      <c r="B9" s="16"/>
      <c r="C9" s="188"/>
      <c r="D9" s="18"/>
      <c r="E9" s="17"/>
      <c r="F9" s="18"/>
      <c r="G9" s="18"/>
      <c r="H9" s="17"/>
      <c r="I9" s="17"/>
      <c r="J9" s="17"/>
      <c r="N9"/>
      <c r="O9"/>
      <c r="P9"/>
      <c r="Q9"/>
    </row>
    <row r="10" spans="1:17">
      <c r="A10" s="17"/>
      <c r="B10" s="26" t="s">
        <v>14</v>
      </c>
      <c r="C10" s="190"/>
      <c r="D10" s="28"/>
      <c r="E10" s="28"/>
      <c r="F10" s="133"/>
      <c r="G10" s="133"/>
      <c r="H10" s="28"/>
      <c r="I10" s="28"/>
      <c r="J10" s="29"/>
      <c r="N10"/>
      <c r="O10"/>
      <c r="P10"/>
      <c r="Q10"/>
    </row>
    <row r="11" spans="1:17">
      <c r="A11" s="17"/>
      <c r="B11" s="30" t="s">
        <v>15</v>
      </c>
      <c r="C11" s="191"/>
      <c r="D11" s="15">
        <f>D7+D6</f>
        <v>1700</v>
      </c>
      <c r="E11" s="32" t="s">
        <v>7</v>
      </c>
      <c r="F11" s="31"/>
      <c r="G11" s="31"/>
      <c r="H11" s="33"/>
      <c r="I11" s="33"/>
      <c r="J11" s="34"/>
      <c r="N11"/>
      <c r="O11"/>
      <c r="P11"/>
      <c r="Q11"/>
    </row>
    <row r="12" spans="1:17">
      <c r="A12" s="17"/>
      <c r="B12" s="30" t="s">
        <v>16</v>
      </c>
      <c r="C12" s="191"/>
      <c r="D12" s="23">
        <f>ABS(M13)</f>
        <v>298</v>
      </c>
      <c r="E12" s="32" t="s">
        <v>7</v>
      </c>
      <c r="F12" s="32" t="str">
        <f>IF(M13&gt;0,d!A44,d!A45)</f>
        <v>de moins que les menus Pan Metron du jour</v>
      </c>
      <c r="G12" s="31"/>
      <c r="H12" s="33"/>
      <c r="I12" s="33"/>
      <c r="J12" s="34"/>
      <c r="N12"/>
      <c r="O12"/>
      <c r="P12"/>
      <c r="Q12"/>
    </row>
    <row r="13" spans="1:17" ht="13" customHeight="1">
      <c r="A13" s="24"/>
      <c r="B13" s="35"/>
      <c r="C13" s="192"/>
      <c r="D13" s="37"/>
      <c r="E13" s="1"/>
      <c r="F13" s="38" t="str">
        <f>IF(D5="non","",d!A46)</f>
        <v/>
      </c>
      <c r="G13" s="39"/>
      <c r="H13" s="38"/>
      <c r="I13" s="38"/>
      <c r="J13" s="40"/>
      <c r="M13" s="408">
        <f>D3+E73-D11</f>
        <v>298</v>
      </c>
      <c r="N13"/>
      <c r="O13"/>
      <c r="P13"/>
      <c r="Q13"/>
    </row>
    <row r="14" spans="1:17" ht="8" customHeight="1">
      <c r="A14" s="24"/>
      <c r="B14" s="41"/>
      <c r="C14" s="193"/>
      <c r="D14" s="19"/>
      <c r="E14" s="42"/>
      <c r="F14" s="43"/>
      <c r="G14" s="43"/>
      <c r="H14" s="42"/>
      <c r="I14" s="42"/>
      <c r="J14" s="42"/>
      <c r="N14"/>
      <c r="O14"/>
      <c r="P14"/>
      <c r="Q14"/>
    </row>
    <row r="15" spans="1:17" ht="111" customHeight="1">
      <c r="A15" s="17"/>
      <c r="B15" s="492" t="str">
        <f>IF(M13&lt;-50,d!A48,IF(M13&lt;0,d!A49,IF(M13=0,d!A50,IF(M13&gt;50,d!A52,d!A51))))</f>
        <v>Il faut donc agir:_x000D_&gt; Vous pouvez augmenter encore votre activité physique._x000D_&gt; Ou/et diminuer la quantité de certains ingrédients des recettes du jour dans la première colonne, jusqu'à atteindre votre objectif. Visez de préférence les aliments rouge et orange, de façon à ne pas prétériter l'équilibre nutritionnel de la journée._x000D_&gt; Si cela ne suffit toujours pas à atteindre votre objectif, le programme adapte proportionnellement  les quantités pour y parvenir, sauf celles des boissons non caloriques (eau, café, etc.)</v>
      </c>
      <c r="C15" s="493"/>
      <c r="D15" s="493"/>
      <c r="E15" s="493"/>
      <c r="F15" s="493"/>
      <c r="G15" s="493"/>
      <c r="H15" s="493"/>
      <c r="I15" s="493"/>
      <c r="J15" s="494"/>
      <c r="K15" s="22"/>
      <c r="L15" s="244"/>
      <c r="M15" s="409"/>
      <c r="N15"/>
      <c r="O15"/>
      <c r="P15"/>
      <c r="Q15"/>
    </row>
    <row r="16" spans="1:17" ht="12" customHeight="1">
      <c r="A16" s="17"/>
      <c r="B16" s="22"/>
      <c r="C16" s="194"/>
      <c r="D16" s="22"/>
      <c r="E16" s="22"/>
      <c r="F16" s="134"/>
      <c r="G16" s="134"/>
      <c r="H16" s="22"/>
      <c r="I16" s="22"/>
      <c r="J16" s="22"/>
      <c r="K16" s="22"/>
      <c r="L16" s="244"/>
      <c r="N16"/>
      <c r="O16"/>
      <c r="P16"/>
      <c r="Q16"/>
    </row>
    <row r="17" spans="1:17" ht="17" customHeight="1">
      <c r="A17" s="60" t="s">
        <v>24</v>
      </c>
      <c r="B17" s="61"/>
      <c r="C17" s="195"/>
      <c r="D17" s="61"/>
      <c r="E17" s="62"/>
      <c r="F17" s="134"/>
      <c r="G17" s="141"/>
      <c r="H17" s="57" t="s">
        <v>36</v>
      </c>
      <c r="I17" s="58"/>
      <c r="J17" s="59"/>
      <c r="K17" s="22"/>
      <c r="L17" s="244"/>
      <c r="M17" s="269" t="s">
        <v>133</v>
      </c>
      <c r="O17" s="148"/>
      <c r="Q17"/>
    </row>
    <row r="18" spans="1:17">
      <c r="A18" s="485" t="s">
        <v>11</v>
      </c>
      <c r="B18" s="483" t="s">
        <v>227</v>
      </c>
      <c r="C18" s="321"/>
      <c r="D18" s="481" t="s">
        <v>7</v>
      </c>
      <c r="E18" s="482"/>
      <c r="F18" s="18"/>
      <c r="G18" s="43"/>
      <c r="H18" s="487" t="str">
        <f>A18</f>
        <v>g/cl</v>
      </c>
      <c r="I18" s="489" t="str">
        <f>B18</f>
        <v>Ingrédients</v>
      </c>
      <c r="J18" s="70" t="s">
        <v>7</v>
      </c>
      <c r="M18" s="411">
        <f>100-(D12/((D11+D12)/100))</f>
        <v>85.085085085085083</v>
      </c>
      <c r="Q18"/>
    </row>
    <row r="19" spans="1:17" ht="12" customHeight="1">
      <c r="A19" s="486"/>
      <c r="B19" s="484"/>
      <c r="C19" s="73"/>
      <c r="D19" s="72" t="s">
        <v>22</v>
      </c>
      <c r="E19" s="73" t="s">
        <v>23</v>
      </c>
      <c r="F19" s="18"/>
      <c r="G19" s="43"/>
      <c r="H19" s="488"/>
      <c r="I19" s="490"/>
      <c r="J19" s="71" t="s">
        <v>23</v>
      </c>
      <c r="M19" s="269"/>
      <c r="Q19"/>
    </row>
    <row r="20" spans="1:17" ht="8" customHeight="1">
      <c r="A20" s="17"/>
      <c r="B20" s="16"/>
      <c r="C20" s="209"/>
      <c r="D20" s="17"/>
      <c r="E20" s="17"/>
      <c r="F20" s="18"/>
      <c r="G20" s="43"/>
      <c r="H20" s="17"/>
      <c r="I20" s="17"/>
      <c r="J20" s="17"/>
      <c r="L20" s="154"/>
      <c r="P20"/>
      <c r="Q20"/>
    </row>
    <row r="21" spans="1:17">
      <c r="A21" s="216" t="s">
        <v>242</v>
      </c>
      <c r="B21" s="16"/>
      <c r="C21" s="209"/>
      <c r="D21" s="17"/>
      <c r="E21" s="17"/>
      <c r="F21" s="18"/>
      <c r="G21" s="43"/>
      <c r="H21" s="17"/>
      <c r="I21" s="17"/>
      <c r="J21" s="17"/>
      <c r="L21" s="154"/>
      <c r="P21"/>
      <c r="Q21"/>
    </row>
    <row r="22" spans="1:17">
      <c r="A22" s="438">
        <v>30</v>
      </c>
      <c r="B22" s="2" t="s">
        <v>102</v>
      </c>
      <c r="C22" s="196" t="s">
        <v>673</v>
      </c>
      <c r="D22" s="51">
        <v>229</v>
      </c>
      <c r="E22" s="49">
        <f t="shared" ref="E22:E29" si="0">D22/100*A22</f>
        <v>68.7</v>
      </c>
      <c r="F22" s="18"/>
      <c r="G22" s="43"/>
      <c r="H22" s="55">
        <f t="shared" ref="H22:H29" si="1">IF(E22=0,A22,A22/E22*J22)</f>
        <v>25.525525525525524</v>
      </c>
      <c r="I22" s="2" t="str">
        <f t="shared" ref="I22:I29" si="2">B22</f>
        <v>pain complet</v>
      </c>
      <c r="J22" s="49">
        <f>E22*$M$18%</f>
        <v>58.453453453453456</v>
      </c>
      <c r="M22" s="411"/>
      <c r="Q22"/>
    </row>
    <row r="23" spans="1:17">
      <c r="A23" s="438">
        <v>5</v>
      </c>
      <c r="B23" s="2" t="s">
        <v>0</v>
      </c>
      <c r="C23" s="197" t="s">
        <v>674</v>
      </c>
      <c r="D23" s="51">
        <v>747.3</v>
      </c>
      <c r="E23" s="49">
        <f t="shared" si="0"/>
        <v>37.365000000000002</v>
      </c>
      <c r="F23" s="18"/>
      <c r="G23" s="43"/>
      <c r="H23" s="55">
        <f t="shared" si="1"/>
        <v>4.2542542542542545</v>
      </c>
      <c r="I23" s="2" t="str">
        <f t="shared" si="2"/>
        <v>beurre</v>
      </c>
      <c r="J23" s="49">
        <f t="shared" ref="J23:J29" si="3">E23*$M$18%</f>
        <v>31.792042042042045</v>
      </c>
      <c r="Q23"/>
    </row>
    <row r="24" spans="1:17">
      <c r="A24" s="438">
        <v>10</v>
      </c>
      <c r="B24" s="2" t="s">
        <v>3</v>
      </c>
      <c r="C24" s="197" t="s">
        <v>674</v>
      </c>
      <c r="D24" s="51">
        <v>246</v>
      </c>
      <c r="E24" s="49">
        <f t="shared" si="0"/>
        <v>24.6</v>
      </c>
      <c r="F24" s="18"/>
      <c r="G24" s="43"/>
      <c r="H24" s="55">
        <f t="shared" si="1"/>
        <v>8.508508508508509</v>
      </c>
      <c r="I24" s="2" t="str">
        <f t="shared" si="2"/>
        <v>confiture</v>
      </c>
      <c r="J24" s="49">
        <f t="shared" si="3"/>
        <v>20.930930930930934</v>
      </c>
      <c r="O24" s="45"/>
      <c r="Q24"/>
    </row>
    <row r="25" spans="1:17">
      <c r="A25" s="438">
        <v>150</v>
      </c>
      <c r="B25" s="2" t="s">
        <v>1</v>
      </c>
      <c r="C25" s="198"/>
      <c r="D25" s="51">
        <v>0</v>
      </c>
      <c r="E25" s="49">
        <f t="shared" si="0"/>
        <v>0</v>
      </c>
      <c r="F25" s="18"/>
      <c r="G25" s="43"/>
      <c r="H25" s="55">
        <f t="shared" si="1"/>
        <v>150</v>
      </c>
      <c r="I25" s="2" t="str">
        <f t="shared" si="2"/>
        <v>café</v>
      </c>
      <c r="J25" s="49">
        <f t="shared" si="3"/>
        <v>0</v>
      </c>
      <c r="O25" s="45"/>
      <c r="Q25"/>
    </row>
    <row r="26" spans="1:17">
      <c r="A26" s="438">
        <v>4</v>
      </c>
      <c r="B26" s="2" t="s">
        <v>2</v>
      </c>
      <c r="C26" s="197" t="s">
        <v>674</v>
      </c>
      <c r="D26" s="51">
        <v>400</v>
      </c>
      <c r="E26" s="49">
        <f t="shared" si="0"/>
        <v>16</v>
      </c>
      <c r="F26" s="18"/>
      <c r="G26" s="43"/>
      <c r="H26" s="55">
        <f t="shared" si="1"/>
        <v>3.4034034034034035</v>
      </c>
      <c r="I26" s="2" t="str">
        <f t="shared" si="2"/>
        <v>sucre</v>
      </c>
      <c r="J26" s="49">
        <f t="shared" si="3"/>
        <v>13.613613613613614</v>
      </c>
      <c r="O26" s="45"/>
      <c r="Q26"/>
    </row>
    <row r="27" spans="1:17">
      <c r="A27" s="438">
        <v>12</v>
      </c>
      <c r="B27" s="2" t="s">
        <v>5</v>
      </c>
      <c r="C27" s="196" t="s">
        <v>673</v>
      </c>
      <c r="D27" s="51">
        <v>161</v>
      </c>
      <c r="E27" s="49">
        <f t="shared" si="0"/>
        <v>19.32</v>
      </c>
      <c r="F27" s="18"/>
      <c r="G27" s="43"/>
      <c r="H27" s="55">
        <f t="shared" si="1"/>
        <v>10.21021021021021</v>
      </c>
      <c r="I27" s="2" t="str">
        <f t="shared" si="2"/>
        <v>crème à café</v>
      </c>
      <c r="J27" s="49">
        <f t="shared" si="3"/>
        <v>16.438438438438439</v>
      </c>
      <c r="O27" s="45"/>
      <c r="Q27"/>
    </row>
    <row r="28" spans="1:17">
      <c r="A28" s="438">
        <v>125</v>
      </c>
      <c r="B28" s="2" t="s">
        <v>123</v>
      </c>
      <c r="C28" s="199" t="s">
        <v>675</v>
      </c>
      <c r="D28" s="51">
        <v>87</v>
      </c>
      <c r="E28" s="49">
        <f t="shared" si="0"/>
        <v>108.75</v>
      </c>
      <c r="F28" s="18"/>
      <c r="G28" s="43"/>
      <c r="H28" s="55">
        <f t="shared" si="1"/>
        <v>106.35635635635636</v>
      </c>
      <c r="I28" s="2" t="str">
        <f t="shared" si="2"/>
        <v>yogourt aux fruits</v>
      </c>
      <c r="J28" s="49">
        <f t="shared" si="3"/>
        <v>92.530030030030034</v>
      </c>
      <c r="O28" s="45"/>
      <c r="Q28"/>
    </row>
    <row r="29" spans="1:17">
      <c r="A29" s="438">
        <v>150</v>
      </c>
      <c r="B29" s="2" t="s">
        <v>103</v>
      </c>
      <c r="C29" s="199" t="s">
        <v>675</v>
      </c>
      <c r="D29" s="51">
        <v>45</v>
      </c>
      <c r="E29" s="49">
        <f t="shared" si="0"/>
        <v>67.5</v>
      </c>
      <c r="F29" s="68"/>
      <c r="G29" s="128"/>
      <c r="H29" s="55">
        <f t="shared" si="1"/>
        <v>127.62762762762765</v>
      </c>
      <c r="I29" s="2" t="str">
        <f t="shared" si="2"/>
        <v>jus d'orange maison</v>
      </c>
      <c r="J29" s="49">
        <f t="shared" si="3"/>
        <v>57.432432432432435</v>
      </c>
      <c r="K29" s="275"/>
      <c r="O29" s="45"/>
      <c r="Q29"/>
    </row>
    <row r="30" spans="1:17">
      <c r="A30" s="42"/>
      <c r="B30" s="131"/>
      <c r="C30" s="200"/>
      <c r="E30" s="130" t="s">
        <v>6</v>
      </c>
      <c r="F30" s="139">
        <f>SUM(E22:E29)</f>
        <v>342.23500000000001</v>
      </c>
      <c r="G30" s="128"/>
      <c r="H30" s="42"/>
      <c r="I30" s="131"/>
      <c r="J30" s="130" t="s">
        <v>6</v>
      </c>
      <c r="K30" s="336">
        <f>SUM(J22:J29)</f>
        <v>291.190940940941</v>
      </c>
      <c r="L30" s="154"/>
      <c r="O30" s="45"/>
      <c r="Q30"/>
    </row>
    <row r="31" spans="1:17">
      <c r="A31" s="216" t="s">
        <v>225</v>
      </c>
      <c r="B31" s="16"/>
      <c r="C31" s="209"/>
      <c r="D31" s="17"/>
      <c r="E31" s="17"/>
      <c r="F31" s="18"/>
      <c r="G31" s="43"/>
      <c r="H31" s="17"/>
      <c r="I31" s="17"/>
      <c r="J31" s="17"/>
      <c r="L31" s="154"/>
      <c r="P31"/>
      <c r="Q31"/>
    </row>
    <row r="32" spans="1:17">
      <c r="A32" s="66" t="s">
        <v>661</v>
      </c>
      <c r="B32" s="257"/>
      <c r="C32" s="257"/>
      <c r="D32" s="257"/>
      <c r="E32" s="257"/>
      <c r="F32" s="257"/>
      <c r="G32" s="257"/>
      <c r="H32" s="257"/>
      <c r="I32" s="257"/>
      <c r="J32" s="258"/>
      <c r="O32" s="45"/>
      <c r="Q32"/>
    </row>
    <row r="33" spans="1:17">
      <c r="A33" s="439">
        <v>100</v>
      </c>
      <c r="B33" s="2" t="s">
        <v>672</v>
      </c>
      <c r="C33" s="249" t="s">
        <v>677</v>
      </c>
      <c r="D33" s="253">
        <v>252</v>
      </c>
      <c r="E33" s="254">
        <f t="shared" ref="E33:E43" si="4">D33/100*A33</f>
        <v>252</v>
      </c>
      <c r="F33" s="18"/>
      <c r="G33" s="43"/>
      <c r="H33" s="255">
        <f t="shared" ref="H33:H43" si="5">IF(E33=0,A33,A33/E33*J33)</f>
        <v>85.085085085085083</v>
      </c>
      <c r="I33" s="251" t="str">
        <f t="shared" ref="I33:I45" si="6">B33</f>
        <v>petits calamars</v>
      </c>
      <c r="J33" s="254">
        <f t="shared" ref="J33:J45" si="7">E33*$M$18%</f>
        <v>214.41441441441441</v>
      </c>
      <c r="O33" s="45"/>
      <c r="Q33"/>
    </row>
    <row r="34" spans="1:17">
      <c r="A34" s="439">
        <v>100</v>
      </c>
      <c r="B34" s="2" t="s">
        <v>671</v>
      </c>
      <c r="C34" s="199" t="s">
        <v>675</v>
      </c>
      <c r="D34" s="253">
        <v>116</v>
      </c>
      <c r="E34" s="49">
        <f t="shared" si="4"/>
        <v>115.99999999999999</v>
      </c>
      <c r="F34" s="68"/>
      <c r="G34" s="128"/>
      <c r="H34" s="55">
        <f t="shared" si="5"/>
        <v>85.085085085085083</v>
      </c>
      <c r="I34" s="2" t="str">
        <f t="shared" si="6"/>
        <v>spaghetti</v>
      </c>
      <c r="J34" s="49">
        <f t="shared" si="7"/>
        <v>98.698698698698692</v>
      </c>
      <c r="O34" s="45"/>
      <c r="Q34"/>
    </row>
    <row r="35" spans="1:17">
      <c r="A35" s="439">
        <v>6</v>
      </c>
      <c r="B35" s="298" t="s">
        <v>670</v>
      </c>
      <c r="C35" s="197" t="s">
        <v>674</v>
      </c>
      <c r="D35" s="253">
        <v>899</v>
      </c>
      <c r="E35" s="49">
        <f t="shared" si="4"/>
        <v>53.94</v>
      </c>
      <c r="F35" s="68"/>
      <c r="G35" s="128"/>
      <c r="H35" s="55">
        <f t="shared" si="5"/>
        <v>5.105105105105106</v>
      </c>
      <c r="I35" s="2" t="str">
        <f t="shared" si="6"/>
        <v>huile d'olive,</v>
      </c>
      <c r="J35" s="49">
        <f t="shared" si="7"/>
        <v>45.894894894894897</v>
      </c>
      <c r="O35" s="45"/>
      <c r="Q35"/>
    </row>
    <row r="36" spans="1:17">
      <c r="A36" s="439">
        <f>18/4</f>
        <v>4.5</v>
      </c>
      <c r="B36" s="2" t="s">
        <v>561</v>
      </c>
      <c r="C36" s="273" t="s">
        <v>676</v>
      </c>
      <c r="D36" s="253">
        <v>131</v>
      </c>
      <c r="E36" s="49">
        <f t="shared" si="4"/>
        <v>5.8950000000000005</v>
      </c>
      <c r="F36" s="68"/>
      <c r="G36" s="128"/>
      <c r="H36" s="55">
        <f t="shared" si="5"/>
        <v>3.8288288288288288</v>
      </c>
      <c r="I36" s="2" t="str">
        <f t="shared" si="6"/>
        <v>ail</v>
      </c>
      <c r="J36" s="49">
        <f t="shared" si="7"/>
        <v>5.0157657657657664</v>
      </c>
      <c r="O36" s="45"/>
      <c r="Q36"/>
    </row>
    <row r="37" spans="1:17">
      <c r="A37" s="439">
        <v>2.5</v>
      </c>
      <c r="B37" s="2" t="s">
        <v>273</v>
      </c>
      <c r="C37" s="273" t="s">
        <v>676</v>
      </c>
      <c r="D37" s="253">
        <v>45</v>
      </c>
      <c r="E37" s="49">
        <f t="shared" si="4"/>
        <v>1.125</v>
      </c>
      <c r="F37" s="68"/>
      <c r="G37" s="128"/>
      <c r="H37" s="55">
        <f t="shared" si="5"/>
        <v>2.1271271271271273</v>
      </c>
      <c r="I37" s="2" t="str">
        <f t="shared" si="6"/>
        <v>piment rouge</v>
      </c>
      <c r="J37" s="49">
        <f t="shared" si="7"/>
        <v>0.9572072072072072</v>
      </c>
      <c r="O37" s="45"/>
      <c r="Q37"/>
    </row>
    <row r="38" spans="1:17">
      <c r="A38" s="439">
        <v>50</v>
      </c>
      <c r="B38" s="2" t="s">
        <v>317</v>
      </c>
      <c r="C38" s="276"/>
      <c r="D38" s="253"/>
      <c r="E38" s="49">
        <f t="shared" si="4"/>
        <v>0</v>
      </c>
      <c r="F38" s="68"/>
      <c r="G38" s="128"/>
      <c r="H38" s="55">
        <f t="shared" si="5"/>
        <v>50</v>
      </c>
      <c r="I38" s="2" t="str">
        <f t="shared" si="6"/>
        <v>vin blanc</v>
      </c>
      <c r="J38" s="49">
        <f t="shared" si="7"/>
        <v>0</v>
      </c>
      <c r="O38" s="45"/>
      <c r="Q38"/>
    </row>
    <row r="39" spans="1:17">
      <c r="A39" s="439">
        <v>7.5</v>
      </c>
      <c r="B39" s="2" t="s">
        <v>191</v>
      </c>
      <c r="C39" s="273" t="s">
        <v>676</v>
      </c>
      <c r="D39" s="253">
        <v>28</v>
      </c>
      <c r="E39" s="49">
        <f t="shared" si="4"/>
        <v>2.1</v>
      </c>
      <c r="F39" s="68"/>
      <c r="G39" s="128"/>
      <c r="H39" s="55">
        <f t="shared" si="5"/>
        <v>6.3813813813813809</v>
      </c>
      <c r="I39" s="2" t="str">
        <f t="shared" si="6"/>
        <v>persil plat</v>
      </c>
      <c r="J39" s="49">
        <f t="shared" si="7"/>
        <v>1.7867867867867868</v>
      </c>
      <c r="O39" s="45"/>
      <c r="Q39"/>
    </row>
    <row r="40" spans="1:17">
      <c r="A40" s="439">
        <v>50</v>
      </c>
      <c r="B40" s="2" t="s">
        <v>202</v>
      </c>
      <c r="C40" s="273" t="s">
        <v>676</v>
      </c>
      <c r="D40" s="253">
        <v>18</v>
      </c>
      <c r="E40" s="49">
        <f t="shared" si="4"/>
        <v>9</v>
      </c>
      <c r="F40" s="68"/>
      <c r="G40" s="128"/>
      <c r="H40" s="55">
        <f t="shared" si="5"/>
        <v>42.542542542542542</v>
      </c>
      <c r="I40" s="2" t="str">
        <f>B40</f>
        <v>mesclun</v>
      </c>
      <c r="J40" s="49">
        <f t="shared" si="7"/>
        <v>7.6576576576576576</v>
      </c>
      <c r="O40" s="45"/>
      <c r="Q40"/>
    </row>
    <row r="41" spans="1:17">
      <c r="A41" s="439">
        <v>12</v>
      </c>
      <c r="B41" s="2" t="s">
        <v>639</v>
      </c>
      <c r="C41" s="197" t="s">
        <v>674</v>
      </c>
      <c r="D41" s="253">
        <v>446</v>
      </c>
      <c r="E41" s="49">
        <f t="shared" si="4"/>
        <v>53.519999999999996</v>
      </c>
      <c r="F41" s="68"/>
      <c r="G41" s="128"/>
      <c r="H41" s="55">
        <f t="shared" si="5"/>
        <v>10.21021021021021</v>
      </c>
      <c r="I41" s="2" t="str">
        <f>B41</f>
        <v>sauce salade française</v>
      </c>
      <c r="J41" s="49">
        <f t="shared" si="7"/>
        <v>45.537537537537538</v>
      </c>
      <c r="O41" s="45"/>
      <c r="Q41"/>
    </row>
    <row r="42" spans="1:17">
      <c r="A42" s="439">
        <v>1</v>
      </c>
      <c r="B42" s="2" t="s">
        <v>109</v>
      </c>
      <c r="C42" s="197" t="s">
        <v>674</v>
      </c>
      <c r="D42" s="253">
        <v>0</v>
      </c>
      <c r="E42" s="49">
        <f t="shared" si="4"/>
        <v>0</v>
      </c>
      <c r="F42" s="68"/>
      <c r="G42" s="128"/>
      <c r="H42" s="55">
        <f t="shared" si="5"/>
        <v>1</v>
      </c>
      <c r="I42" s="2" t="str">
        <f>B42</f>
        <v>sel</v>
      </c>
      <c r="J42" s="49">
        <f>E42*$M$18%</f>
        <v>0</v>
      </c>
      <c r="O42" s="45"/>
      <c r="P42"/>
      <c r="Q42"/>
    </row>
    <row r="43" spans="1:17">
      <c r="A43" s="439">
        <v>0.25</v>
      </c>
      <c r="B43" s="251" t="s">
        <v>116</v>
      </c>
      <c r="C43" s="199" t="s">
        <v>675</v>
      </c>
      <c r="D43" s="253">
        <v>222</v>
      </c>
      <c r="E43" s="49">
        <f t="shared" si="4"/>
        <v>0.55500000000000005</v>
      </c>
      <c r="F43" s="68"/>
      <c r="G43" s="128"/>
      <c r="H43" s="55">
        <f t="shared" si="5"/>
        <v>0.21271271271271272</v>
      </c>
      <c r="I43" s="2" t="str">
        <f>B43</f>
        <v>poivre</v>
      </c>
      <c r="J43" s="49">
        <f t="shared" si="7"/>
        <v>0.47222222222222227</v>
      </c>
      <c r="O43" s="45"/>
      <c r="Q43"/>
    </row>
    <row r="44" spans="1:17">
      <c r="A44" s="66" t="s">
        <v>127</v>
      </c>
      <c r="B44" s="63"/>
      <c r="C44" s="202"/>
      <c r="D44" s="63"/>
      <c r="E44" s="64"/>
      <c r="F44" s="68"/>
      <c r="G44" s="43"/>
      <c r="H44" s="65"/>
      <c r="I44" s="63"/>
      <c r="J44" s="67"/>
      <c r="O44" s="45"/>
      <c r="Q44"/>
    </row>
    <row r="45" spans="1:17">
      <c r="A45" s="439">
        <v>160</v>
      </c>
      <c r="B45" s="251" t="s">
        <v>663</v>
      </c>
      <c r="C45" s="273" t="s">
        <v>676</v>
      </c>
      <c r="D45" s="253">
        <v>49</v>
      </c>
      <c r="E45" s="49">
        <f>D45/100*A45</f>
        <v>78.400000000000006</v>
      </c>
      <c r="F45" s="18"/>
      <c r="G45" s="43"/>
      <c r="H45" s="55">
        <f>IF(E45=0,A45,A45/E45*J45)</f>
        <v>136.13613613613614</v>
      </c>
      <c r="I45" s="56" t="str">
        <f t="shared" si="6"/>
        <v>2 kiwis</v>
      </c>
      <c r="J45" s="49">
        <f t="shared" si="7"/>
        <v>66.706706706706711</v>
      </c>
      <c r="K45" s="275"/>
      <c r="O45" s="45"/>
      <c r="P45"/>
      <c r="Q45"/>
    </row>
    <row r="46" spans="1:17">
      <c r="A46" s="42"/>
      <c r="B46" s="131"/>
      <c r="C46" s="200"/>
      <c r="E46" s="130" t="s">
        <v>6</v>
      </c>
      <c r="F46" s="138">
        <f>SUM(E33:E45)</f>
        <v>572.53499999999997</v>
      </c>
      <c r="G46" s="128"/>
      <c r="H46" s="42"/>
      <c r="I46" s="131"/>
      <c r="J46" s="130" t="s">
        <v>6</v>
      </c>
      <c r="K46" s="336">
        <f>SUM(J33:J45)</f>
        <v>487.14189189189187</v>
      </c>
      <c r="O46" s="45"/>
      <c r="Q46"/>
    </row>
    <row r="47" spans="1:17" ht="6" customHeight="1">
      <c r="A47" s="17"/>
      <c r="B47" s="17"/>
      <c r="C47" s="188"/>
      <c r="D47" s="68"/>
      <c r="E47" s="17"/>
      <c r="F47" s="18"/>
      <c r="G47" s="43"/>
      <c r="H47" s="17"/>
      <c r="I47" s="17"/>
      <c r="J47" s="17"/>
      <c r="O47" s="45"/>
      <c r="P47"/>
      <c r="Q47"/>
    </row>
    <row r="48" spans="1:17">
      <c r="A48" s="216" t="s">
        <v>228</v>
      </c>
      <c r="B48" s="16"/>
      <c r="C48" s="209"/>
      <c r="D48" s="17"/>
      <c r="E48" s="17"/>
      <c r="F48" s="18"/>
      <c r="G48" s="43"/>
      <c r="H48" s="17"/>
      <c r="I48" s="17"/>
      <c r="J48" s="17"/>
      <c r="P48"/>
      <c r="Q48"/>
    </row>
    <row r="49" spans="1:17">
      <c r="A49" s="438">
        <v>75</v>
      </c>
      <c r="B49" s="2" t="s">
        <v>664</v>
      </c>
      <c r="C49" s="197" t="s">
        <v>674</v>
      </c>
      <c r="D49" s="51">
        <v>262</v>
      </c>
      <c r="E49" s="49">
        <f>D49/100*A49</f>
        <v>196.5</v>
      </c>
      <c r="F49" s="18"/>
      <c r="G49" s="43"/>
      <c r="H49" s="55">
        <f>IF(E49=0,A49,A49/E49*J49)</f>
        <v>63.813813813813823</v>
      </c>
      <c r="I49" s="2" t="str">
        <f>B49</f>
        <v>nougat glacé</v>
      </c>
      <c r="J49" s="49">
        <f>E49*$M$18%</f>
        <v>167.19219219219221</v>
      </c>
    </row>
    <row r="50" spans="1:17">
      <c r="A50" s="42"/>
      <c r="B50" s="157"/>
      <c r="C50" s="272"/>
      <c r="E50" s="130" t="s">
        <v>6</v>
      </c>
      <c r="F50" s="314">
        <f>SUM(E49:E49)</f>
        <v>196.5</v>
      </c>
      <c r="G50" s="140"/>
      <c r="H50" s="42"/>
      <c r="I50" s="131"/>
      <c r="J50" s="130" t="s">
        <v>6</v>
      </c>
      <c r="K50" s="336">
        <f>SUM(J49:J49)</f>
        <v>167.19219219219221</v>
      </c>
      <c r="L50" s="154"/>
      <c r="O50" s="45"/>
      <c r="Q50"/>
    </row>
    <row r="51" spans="1:17">
      <c r="A51" s="216" t="s">
        <v>226</v>
      </c>
      <c r="B51" s="16"/>
      <c r="C51" s="209"/>
      <c r="D51" s="17"/>
      <c r="E51" s="17"/>
      <c r="F51" s="18"/>
      <c r="G51" s="43"/>
      <c r="H51" s="17"/>
      <c r="I51" s="17"/>
      <c r="J51" s="17"/>
      <c r="P51"/>
      <c r="Q51"/>
    </row>
    <row r="52" spans="1:17">
      <c r="A52" s="66" t="s">
        <v>659</v>
      </c>
      <c r="B52" s="257"/>
      <c r="C52" s="257"/>
      <c r="D52" s="257"/>
      <c r="E52" s="257"/>
      <c r="F52" s="257"/>
      <c r="G52" s="257"/>
      <c r="H52" s="257"/>
      <c r="I52" s="257"/>
      <c r="J52" s="258"/>
      <c r="O52" s="45"/>
      <c r="Q52"/>
    </row>
    <row r="53" spans="1:17">
      <c r="A53" s="439">
        <v>125</v>
      </c>
      <c r="B53" s="2" t="s">
        <v>189</v>
      </c>
      <c r="C53" s="273" t="s">
        <v>676</v>
      </c>
      <c r="D53" s="253">
        <v>76</v>
      </c>
      <c r="E53" s="49">
        <f t="shared" ref="E53:E66" si="8">D53/100*A53</f>
        <v>95</v>
      </c>
      <c r="F53" s="68"/>
      <c r="G53" s="128"/>
      <c r="H53" s="55">
        <f t="shared" ref="H53:H66" si="9">IF(E53=0,A53,A53/E53*J53)</f>
        <v>106.35635635635637</v>
      </c>
      <c r="I53" s="2" t="str">
        <f t="shared" ref="I53:I66" si="10">B53</f>
        <v>pommes de terre</v>
      </c>
      <c r="J53" s="49">
        <f t="shared" ref="J53:J73" si="11">E53*$M$18%</f>
        <v>80.830830830830834</v>
      </c>
      <c r="O53" s="45"/>
      <c r="P53"/>
      <c r="Q53"/>
    </row>
    <row r="54" spans="1:17">
      <c r="A54" s="439">
        <v>100</v>
      </c>
      <c r="B54" s="2" t="s">
        <v>669</v>
      </c>
      <c r="C54" s="273" t="s">
        <v>676</v>
      </c>
      <c r="D54" s="253">
        <v>17</v>
      </c>
      <c r="E54" s="49">
        <f t="shared" si="8"/>
        <v>17</v>
      </c>
      <c r="F54" s="68"/>
      <c r="G54" s="128"/>
      <c r="H54" s="55">
        <f t="shared" si="9"/>
        <v>85.085085085085097</v>
      </c>
      <c r="I54" s="2" t="str">
        <f t="shared" si="10"/>
        <v>aubergines</v>
      </c>
      <c r="J54" s="49">
        <f t="shared" si="11"/>
        <v>14.464464464464465</v>
      </c>
      <c r="L54" s="154"/>
      <c r="O54" s="45"/>
      <c r="P54"/>
      <c r="Q54"/>
    </row>
    <row r="55" spans="1:17">
      <c r="A55" s="439">
        <v>50</v>
      </c>
      <c r="B55" s="2" t="s">
        <v>668</v>
      </c>
      <c r="C55" s="273" t="s">
        <v>676</v>
      </c>
      <c r="D55" s="253">
        <v>31</v>
      </c>
      <c r="E55" s="49">
        <f t="shared" si="8"/>
        <v>15.5</v>
      </c>
      <c r="F55" s="68"/>
      <c r="G55" s="128"/>
      <c r="H55" s="55">
        <f t="shared" si="9"/>
        <v>42.542542542542542</v>
      </c>
      <c r="I55" s="2" t="str">
        <f t="shared" si="10"/>
        <v>haricots verts</v>
      </c>
      <c r="J55" s="49">
        <f t="shared" si="11"/>
        <v>13.188188188188189</v>
      </c>
      <c r="L55" s="154"/>
      <c r="O55" s="45"/>
      <c r="P55"/>
      <c r="Q55"/>
    </row>
    <row r="56" spans="1:17">
      <c r="A56" s="439">
        <f>125/4</f>
        <v>31.25</v>
      </c>
      <c r="B56" s="2" t="s">
        <v>141</v>
      </c>
      <c r="C56" s="273" t="s">
        <v>676</v>
      </c>
      <c r="D56" s="253">
        <v>30</v>
      </c>
      <c r="E56" s="49">
        <f t="shared" si="8"/>
        <v>9.375</v>
      </c>
      <c r="F56" s="68"/>
      <c r="G56" s="128"/>
      <c r="H56" s="55">
        <f t="shared" si="9"/>
        <v>26.589089089089089</v>
      </c>
      <c r="I56" s="2" t="str">
        <f t="shared" si="10"/>
        <v>carottes</v>
      </c>
      <c r="J56" s="49">
        <f t="shared" si="11"/>
        <v>7.976726726726727</v>
      </c>
      <c r="O56" s="45"/>
      <c r="P56"/>
      <c r="Q56"/>
    </row>
    <row r="57" spans="1:17">
      <c r="A57" s="439">
        <v>125</v>
      </c>
      <c r="B57" s="2" t="s">
        <v>240</v>
      </c>
      <c r="C57" s="273" t="s">
        <v>676</v>
      </c>
      <c r="D57" s="253">
        <v>19</v>
      </c>
      <c r="E57" s="49">
        <f t="shared" si="8"/>
        <v>23.75</v>
      </c>
      <c r="F57" s="68"/>
      <c r="G57" s="128"/>
      <c r="H57" s="55">
        <f t="shared" si="9"/>
        <v>106.35635635635637</v>
      </c>
      <c r="I57" s="2" t="str">
        <f t="shared" si="10"/>
        <v>tomates</v>
      </c>
      <c r="J57" s="49">
        <f t="shared" si="11"/>
        <v>20.207707707707709</v>
      </c>
      <c r="O57" s="45"/>
      <c r="P57"/>
      <c r="Q57"/>
    </row>
    <row r="58" spans="1:17">
      <c r="A58" s="439">
        <f>18/4</f>
        <v>4.5</v>
      </c>
      <c r="B58" s="2" t="s">
        <v>561</v>
      </c>
      <c r="C58" s="273" t="s">
        <v>676</v>
      </c>
      <c r="D58" s="253">
        <v>131</v>
      </c>
      <c r="E58" s="49">
        <f t="shared" si="8"/>
        <v>5.8950000000000005</v>
      </c>
      <c r="F58" s="68"/>
      <c r="G58" s="128"/>
      <c r="H58" s="55">
        <f t="shared" si="9"/>
        <v>3.8288288288288288</v>
      </c>
      <c r="I58" s="2" t="str">
        <f t="shared" si="10"/>
        <v>ail</v>
      </c>
      <c r="J58" s="49">
        <f t="shared" si="11"/>
        <v>5.0157657657657664</v>
      </c>
      <c r="O58" s="45"/>
      <c r="P58"/>
      <c r="Q58"/>
    </row>
    <row r="59" spans="1:17">
      <c r="A59" s="439">
        <v>1.25</v>
      </c>
      <c r="B59" s="2" t="s">
        <v>442</v>
      </c>
      <c r="C59" s="276"/>
      <c r="D59" s="253"/>
      <c r="E59" s="49">
        <f t="shared" si="8"/>
        <v>0</v>
      </c>
      <c r="F59" s="68"/>
      <c r="G59" s="128"/>
      <c r="H59" s="55">
        <f t="shared" si="9"/>
        <v>1.25</v>
      </c>
      <c r="I59" s="2" t="str">
        <f t="shared" si="10"/>
        <v>origan</v>
      </c>
      <c r="J59" s="49">
        <f t="shared" si="11"/>
        <v>0</v>
      </c>
      <c r="O59" s="45"/>
      <c r="P59"/>
      <c r="Q59"/>
    </row>
    <row r="60" spans="1:17">
      <c r="A60" s="439">
        <v>1.25</v>
      </c>
      <c r="B60" s="2" t="s">
        <v>152</v>
      </c>
      <c r="C60" s="306" t="s">
        <v>676</v>
      </c>
      <c r="D60" s="253">
        <v>52</v>
      </c>
      <c r="E60" s="49">
        <f t="shared" si="8"/>
        <v>0.65</v>
      </c>
      <c r="F60" s="68"/>
      <c r="G60" s="128"/>
      <c r="H60" s="55">
        <f t="shared" si="9"/>
        <v>1.0635635635635634</v>
      </c>
      <c r="I60" s="2" t="str">
        <f t="shared" si="10"/>
        <v>thym</v>
      </c>
      <c r="J60" s="49">
        <f t="shared" si="11"/>
        <v>0.55305305305305308</v>
      </c>
      <c r="O60" s="45"/>
      <c r="P60"/>
      <c r="Q60"/>
    </row>
    <row r="61" spans="1:17">
      <c r="A61" s="439">
        <v>15</v>
      </c>
      <c r="B61" s="2" t="s">
        <v>108</v>
      </c>
      <c r="C61" s="197" t="s">
        <v>674</v>
      </c>
      <c r="D61" s="253">
        <v>899</v>
      </c>
      <c r="E61" s="49">
        <f t="shared" si="8"/>
        <v>134.85</v>
      </c>
      <c r="F61" s="68"/>
      <c r="G61" s="128"/>
      <c r="H61" s="55">
        <f t="shared" si="9"/>
        <v>12.762762762762764</v>
      </c>
      <c r="I61" s="2" t="str">
        <f t="shared" si="10"/>
        <v>huile d'olive</v>
      </c>
      <c r="J61" s="49">
        <f t="shared" si="11"/>
        <v>114.73723723723724</v>
      </c>
      <c r="O61" s="45"/>
      <c r="P61"/>
      <c r="Q61"/>
    </row>
    <row r="62" spans="1:17">
      <c r="A62" s="439">
        <v>2</v>
      </c>
      <c r="B62" s="2" t="s">
        <v>166</v>
      </c>
      <c r="C62" s="196" t="s">
        <v>673</v>
      </c>
      <c r="D62" s="253">
        <v>319</v>
      </c>
      <c r="E62" s="49">
        <f t="shared" si="8"/>
        <v>6.38</v>
      </c>
      <c r="F62" s="68"/>
      <c r="G62" s="128"/>
      <c r="H62" s="55">
        <f t="shared" si="9"/>
        <v>1.7017017017017018</v>
      </c>
      <c r="I62" s="2" t="str">
        <f t="shared" si="10"/>
        <v>paprika</v>
      </c>
      <c r="J62" s="49">
        <f t="shared" si="11"/>
        <v>5.4284284284284281</v>
      </c>
      <c r="O62" s="45"/>
      <c r="P62"/>
      <c r="Q62"/>
    </row>
    <row r="63" spans="1:17">
      <c r="A63" s="439">
        <v>150</v>
      </c>
      <c r="B63" s="2" t="s">
        <v>667</v>
      </c>
      <c r="C63" s="306" t="s">
        <v>676</v>
      </c>
      <c r="D63" s="253">
        <v>179</v>
      </c>
      <c r="E63" s="49">
        <f t="shared" si="8"/>
        <v>268.5</v>
      </c>
      <c r="F63" s="68"/>
      <c r="G63" s="128"/>
      <c r="H63" s="55">
        <f t="shared" si="9"/>
        <v>127.62762762762762</v>
      </c>
      <c r="I63" s="2" t="str">
        <f t="shared" si="10"/>
        <v>côtelettes d’agneau)</v>
      </c>
      <c r="J63" s="49">
        <f t="shared" si="11"/>
        <v>228.45345345345345</v>
      </c>
      <c r="O63" s="45"/>
      <c r="P63"/>
      <c r="Q63"/>
    </row>
    <row r="64" spans="1:17">
      <c r="A64" s="439">
        <v>2.5</v>
      </c>
      <c r="B64" s="2" t="s">
        <v>660</v>
      </c>
      <c r="C64" s="306" t="s">
        <v>676</v>
      </c>
      <c r="D64" s="253">
        <v>62</v>
      </c>
      <c r="E64" s="49">
        <f t="shared" si="8"/>
        <v>1.55</v>
      </c>
      <c r="F64" s="68"/>
      <c r="G64" s="128"/>
      <c r="H64" s="55">
        <f t="shared" si="9"/>
        <v>2.1271271271271268</v>
      </c>
      <c r="I64" s="2" t="str">
        <f t="shared" si="10"/>
        <v>10 g de romarin</v>
      </c>
      <c r="J64" s="49">
        <f t="shared" si="11"/>
        <v>1.3188188188188188</v>
      </c>
      <c r="O64" s="45"/>
      <c r="P64"/>
      <c r="Q64"/>
    </row>
    <row r="65" spans="1:17">
      <c r="A65" s="439">
        <v>1.25</v>
      </c>
      <c r="B65" s="251" t="s">
        <v>109</v>
      </c>
      <c r="C65" s="197" t="s">
        <v>674</v>
      </c>
      <c r="D65" s="253">
        <v>0</v>
      </c>
      <c r="E65" s="49">
        <f t="shared" si="8"/>
        <v>0</v>
      </c>
      <c r="F65" s="68"/>
      <c r="G65" s="128"/>
      <c r="H65" s="55">
        <f t="shared" si="9"/>
        <v>1.25</v>
      </c>
      <c r="I65" s="2" t="str">
        <f t="shared" si="10"/>
        <v>sel</v>
      </c>
      <c r="J65" s="49">
        <f t="shared" si="11"/>
        <v>0</v>
      </c>
      <c r="O65" s="45"/>
      <c r="P65"/>
      <c r="Q65"/>
    </row>
    <row r="66" spans="1:17">
      <c r="A66" s="439">
        <v>0.5</v>
      </c>
      <c r="B66" s="251" t="s">
        <v>116</v>
      </c>
      <c r="C66" s="199" t="s">
        <v>675</v>
      </c>
      <c r="D66" s="253">
        <v>222</v>
      </c>
      <c r="E66" s="49">
        <f t="shared" si="8"/>
        <v>1.1100000000000001</v>
      </c>
      <c r="F66" s="68"/>
      <c r="G66" s="128"/>
      <c r="H66" s="55">
        <f t="shared" si="9"/>
        <v>0.42542542542542544</v>
      </c>
      <c r="I66" s="2" t="str">
        <f t="shared" si="10"/>
        <v>poivre</v>
      </c>
      <c r="J66" s="49">
        <f t="shared" si="11"/>
        <v>0.94444444444444453</v>
      </c>
      <c r="O66" s="45"/>
      <c r="P66"/>
      <c r="Q66"/>
    </row>
    <row r="67" spans="1:17">
      <c r="A67" s="42"/>
      <c r="B67" s="131"/>
      <c r="C67" s="201"/>
      <c r="E67" s="130" t="s">
        <v>6</v>
      </c>
      <c r="F67" s="138">
        <f>SUM(E53:E66)</f>
        <v>579.55999999999995</v>
      </c>
      <c r="G67" s="140"/>
      <c r="H67" s="42"/>
      <c r="I67" s="131"/>
      <c r="J67" s="130" t="s">
        <v>6</v>
      </c>
      <c r="K67" s="336">
        <f>SUM(J53:J66)</f>
        <v>493.11911911911915</v>
      </c>
      <c r="L67" s="154"/>
      <c r="O67" s="45"/>
      <c r="Q67"/>
    </row>
    <row r="68" spans="1:17">
      <c r="A68" s="66" t="s">
        <v>662</v>
      </c>
      <c r="B68" s="257"/>
      <c r="C68" s="257"/>
      <c r="D68" s="257"/>
      <c r="E68" s="257"/>
      <c r="F68" s="259"/>
      <c r="G68" s="260"/>
      <c r="H68" s="257"/>
      <c r="I68" s="257"/>
      <c r="J68" s="258"/>
      <c r="L68" s="154"/>
      <c r="O68" s="45"/>
      <c r="Q68"/>
    </row>
    <row r="69" spans="1:17">
      <c r="A69" s="439">
        <v>200</v>
      </c>
      <c r="B69" s="2" t="s">
        <v>665</v>
      </c>
      <c r="C69" s="199" t="s">
        <v>675</v>
      </c>
      <c r="D69" s="253">
        <v>55</v>
      </c>
      <c r="E69" s="49">
        <f t="shared" ref="E69:E71" si="12">D69/100*A69</f>
        <v>110.00000000000001</v>
      </c>
      <c r="F69" s="68"/>
      <c r="G69" s="128"/>
      <c r="H69" s="55">
        <f>IF(E69=0,A69,A69/E69*J69)</f>
        <v>170.17017017017017</v>
      </c>
      <c r="I69" s="2" t="str">
        <f>B69</f>
        <v>pommes golden</v>
      </c>
      <c r="J69" s="49">
        <f t="shared" si="11"/>
        <v>93.59359359359361</v>
      </c>
      <c r="K69" s="241"/>
      <c r="L69" s="154"/>
      <c r="O69" s="45"/>
      <c r="P69"/>
      <c r="Q69"/>
    </row>
    <row r="70" spans="1:17">
      <c r="A70" s="439">
        <v>40</v>
      </c>
      <c r="B70" s="2" t="s">
        <v>2</v>
      </c>
      <c r="C70" s="197" t="s">
        <v>674</v>
      </c>
      <c r="D70" s="253">
        <v>400</v>
      </c>
      <c r="E70" s="49">
        <f t="shared" si="12"/>
        <v>160</v>
      </c>
      <c r="F70" s="68"/>
      <c r="G70" s="128"/>
      <c r="H70" s="55">
        <f t="shared" ref="H70:H71" si="13">IF(E70=0,A70,A70/E70*J70)</f>
        <v>34.034034034034036</v>
      </c>
      <c r="I70" s="2" t="str">
        <f t="shared" ref="I70:I71" si="14">B70</f>
        <v>sucre</v>
      </c>
      <c r="J70" s="49">
        <f t="shared" si="11"/>
        <v>136.13613613613614</v>
      </c>
      <c r="K70" s="241"/>
      <c r="L70" s="154"/>
      <c r="O70" s="45"/>
      <c r="P70"/>
      <c r="Q70"/>
    </row>
    <row r="71" spans="1:17">
      <c r="A71" s="439">
        <v>30</v>
      </c>
      <c r="B71" s="2" t="s">
        <v>666</v>
      </c>
      <c r="C71" s="196" t="s">
        <v>673</v>
      </c>
      <c r="D71" s="253">
        <v>124</v>
      </c>
      <c r="E71" s="49">
        <f t="shared" si="12"/>
        <v>37.200000000000003</v>
      </c>
      <c r="F71" s="68"/>
      <c r="G71" s="128"/>
      <c r="H71" s="55">
        <f t="shared" si="13"/>
        <v>25.525525525525527</v>
      </c>
      <c r="I71" s="2" t="str">
        <f t="shared" si="14"/>
        <v>crème anglaise</v>
      </c>
      <c r="J71" s="49">
        <f t="shared" si="11"/>
        <v>31.651651651651655</v>
      </c>
      <c r="K71" s="241"/>
      <c r="L71" s="154"/>
      <c r="O71" s="45"/>
      <c r="P71"/>
      <c r="Q71"/>
    </row>
    <row r="72" spans="1:17">
      <c r="A72" s="42"/>
      <c r="B72" s="131"/>
      <c r="C72" s="201"/>
      <c r="E72" s="143" t="s">
        <v>6</v>
      </c>
      <c r="F72" s="274">
        <f>SUM(E69:E71)</f>
        <v>307.2</v>
      </c>
      <c r="G72" s="25"/>
      <c r="H72" s="42"/>
      <c r="I72" s="131"/>
      <c r="J72" s="143" t="s">
        <v>6</v>
      </c>
      <c r="K72" s="336">
        <f>SUM(J69:J72)</f>
        <v>261.3813813813814</v>
      </c>
      <c r="L72" s="154"/>
      <c r="O72" s="45"/>
      <c r="Q72"/>
    </row>
    <row r="73" spans="1:17">
      <c r="A73" s="54">
        <f>IF(D5="non",0,IF(D5="1 verre",125,250))</f>
        <v>0</v>
      </c>
      <c r="B73" s="2" t="str">
        <f>IF(A73=0,"","vin")</f>
        <v/>
      </c>
      <c r="C73" s="203"/>
      <c r="D73" s="51">
        <v>80</v>
      </c>
      <c r="E73" s="49">
        <f>D73/100*A73</f>
        <v>0</v>
      </c>
      <c r="G73" s="142"/>
      <c r="H73" s="55">
        <f>IF(E73=0,A73,A73/E73*J73)</f>
        <v>0</v>
      </c>
      <c r="I73" s="2" t="str">
        <f>B73</f>
        <v/>
      </c>
      <c r="J73" s="49">
        <f t="shared" si="11"/>
        <v>0</v>
      </c>
      <c r="K73" s="335"/>
      <c r="L73" s="154"/>
      <c r="O73" s="45"/>
      <c r="P73"/>
      <c r="Q73"/>
    </row>
    <row r="74" spans="1:17" ht="6" customHeight="1">
      <c r="A74" s="17"/>
      <c r="B74" s="17"/>
      <c r="C74" s="188"/>
      <c r="D74" s="68"/>
      <c r="E74" s="17"/>
      <c r="F74" s="18"/>
      <c r="G74" s="204"/>
      <c r="H74" s="17"/>
      <c r="I74" s="17"/>
      <c r="J74" s="17"/>
      <c r="K74" s="335"/>
      <c r="P74"/>
      <c r="Q74"/>
    </row>
    <row r="75" spans="1:17">
      <c r="A75" s="17"/>
      <c r="B75" s="17"/>
      <c r="C75" s="188"/>
      <c r="D75" s="69" t="s">
        <v>129</v>
      </c>
      <c r="F75" s="138">
        <f>SUM(F22:F72)</f>
        <v>1998.03</v>
      </c>
      <c r="G75" s="204"/>
      <c r="H75" s="17"/>
      <c r="I75" s="69" t="s">
        <v>129</v>
      </c>
      <c r="K75" s="336">
        <f>SUM(K22:K72)</f>
        <v>1700.0255255255256</v>
      </c>
      <c r="P75"/>
      <c r="Q75"/>
    </row>
    <row r="76" spans="1:17">
      <c r="A76" s="17"/>
      <c r="B76" s="17"/>
      <c r="C76" s="188"/>
      <c r="D76" s="18" t="s">
        <v>130</v>
      </c>
      <c r="E76" s="25"/>
      <c r="F76" s="144">
        <f>F75+E73</f>
        <v>1998.03</v>
      </c>
      <c r="G76" s="43"/>
      <c r="H76" s="42"/>
      <c r="I76" s="18" t="s">
        <v>130</v>
      </c>
      <c r="J76" s="25"/>
      <c r="K76" s="336">
        <f>K75+J73</f>
        <v>1700.0255255255256</v>
      </c>
      <c r="P76"/>
      <c r="Q76"/>
    </row>
    <row r="77" spans="1:17">
      <c r="A77" s="17"/>
      <c r="B77" s="16"/>
      <c r="C77" s="188"/>
      <c r="D77" s="17"/>
      <c r="E77" s="17"/>
      <c r="F77" s="205"/>
      <c r="G77" s="43"/>
      <c r="H77" s="17"/>
      <c r="I77" s="17"/>
      <c r="J77" s="17"/>
      <c r="P77"/>
      <c r="Q77"/>
    </row>
    <row r="78" spans="1:17" ht="19">
      <c r="A78" s="118" t="s">
        <v>100</v>
      </c>
      <c r="B78" s="491" t="s">
        <v>99</v>
      </c>
      <c r="C78" s="491"/>
      <c r="D78" s="17"/>
      <c r="E78" s="17"/>
      <c r="F78" s="18"/>
      <c r="G78" s="18"/>
      <c r="H78" s="17"/>
      <c r="I78" s="17"/>
      <c r="J78" s="17"/>
      <c r="P78"/>
      <c r="Q78"/>
    </row>
    <row r="79" spans="1:17" ht="409" customHeight="1">
      <c r="A79" s="17"/>
      <c r="B79" s="16"/>
      <c r="C79" s="228"/>
      <c r="D79" s="17"/>
      <c r="E79" s="17"/>
      <c r="F79" s="18"/>
      <c r="G79" s="18"/>
      <c r="H79" s="17"/>
      <c r="I79" s="17"/>
      <c r="J79" s="17"/>
      <c r="K79" s="18"/>
      <c r="P79"/>
      <c r="Q79"/>
    </row>
    <row r="80" spans="1:17">
      <c r="A80" s="17"/>
      <c r="B80" s="16"/>
      <c r="C80" s="188"/>
      <c r="D80" s="17"/>
      <c r="E80" s="17"/>
      <c r="F80" s="18"/>
      <c r="G80" s="18"/>
      <c r="H80" s="17"/>
      <c r="I80" s="17"/>
      <c r="J80" s="17"/>
      <c r="P80"/>
      <c r="Q80"/>
    </row>
    <row r="81" spans="1:17">
      <c r="A81" s="17"/>
      <c r="B81" s="16"/>
      <c r="C81" s="188"/>
      <c r="D81" s="17"/>
      <c r="E81" s="17"/>
      <c r="F81" s="18"/>
      <c r="G81" s="18"/>
      <c r="H81" s="17"/>
      <c r="I81" s="17"/>
      <c r="J81" s="17"/>
      <c r="P81"/>
      <c r="Q81"/>
    </row>
    <row r="82" spans="1:17">
      <c r="F82" s="18"/>
      <c r="G82" s="18"/>
      <c r="N82"/>
      <c r="O82"/>
      <c r="P82"/>
      <c r="Q82"/>
    </row>
    <row r="83" spans="1:17">
      <c r="F83" s="206"/>
      <c r="N83"/>
      <c r="O83"/>
      <c r="P83"/>
      <c r="Q83"/>
    </row>
    <row r="84" spans="1:17">
      <c r="B84"/>
      <c r="C84"/>
      <c r="N84"/>
      <c r="O84"/>
      <c r="P84"/>
      <c r="Q84"/>
    </row>
    <row r="85" spans="1:17">
      <c r="B85"/>
      <c r="C85"/>
      <c r="N85"/>
      <c r="O85"/>
      <c r="P85"/>
      <c r="Q85"/>
    </row>
    <row r="86" spans="1:17">
      <c r="B86"/>
      <c r="C86"/>
      <c r="N86"/>
      <c r="O86"/>
      <c r="P86"/>
      <c r="Q86"/>
    </row>
    <row r="87" spans="1:17">
      <c r="B87"/>
      <c r="C87"/>
      <c r="N87"/>
      <c r="O87"/>
      <c r="P87"/>
      <c r="Q87"/>
    </row>
    <row r="88" spans="1:17">
      <c r="B88"/>
      <c r="C88"/>
      <c r="N88"/>
      <c r="O88"/>
      <c r="P88"/>
      <c r="Q88"/>
    </row>
    <row r="89" spans="1:17">
      <c r="B89"/>
      <c r="C89"/>
      <c r="N89"/>
      <c r="O89"/>
      <c r="P89"/>
      <c r="Q89"/>
    </row>
    <row r="90" spans="1:17">
      <c r="B90"/>
      <c r="C90"/>
      <c r="N90"/>
      <c r="O90"/>
      <c r="P90"/>
      <c r="Q90"/>
    </row>
    <row r="91" spans="1:17">
      <c r="B91"/>
      <c r="C91"/>
      <c r="N91"/>
      <c r="O91"/>
      <c r="P91"/>
      <c r="Q91"/>
    </row>
    <row r="92" spans="1:17">
      <c r="B92"/>
      <c r="C92"/>
      <c r="N92"/>
      <c r="O92"/>
      <c r="P92"/>
      <c r="Q92"/>
    </row>
    <row r="93" spans="1:17">
      <c r="B93"/>
      <c r="C93"/>
      <c r="N93"/>
      <c r="O93"/>
      <c r="P93"/>
      <c r="Q93"/>
    </row>
    <row r="94" spans="1:17">
      <c r="B94"/>
      <c r="C94"/>
      <c r="N94"/>
      <c r="O94"/>
      <c r="P94"/>
      <c r="Q94"/>
    </row>
    <row r="95" spans="1:17">
      <c r="B95"/>
      <c r="C95"/>
      <c r="N95"/>
      <c r="O95"/>
      <c r="P95"/>
      <c r="Q95"/>
    </row>
    <row r="96" spans="1:17">
      <c r="B96"/>
      <c r="C96"/>
      <c r="N96"/>
      <c r="O96"/>
      <c r="P96"/>
      <c r="Q96"/>
    </row>
    <row r="97" spans="2:17">
      <c r="B97"/>
      <c r="C97"/>
      <c r="N97"/>
      <c r="O97"/>
      <c r="P97"/>
      <c r="Q97"/>
    </row>
    <row r="98" spans="2:17">
      <c r="B98"/>
      <c r="C98"/>
      <c r="F98"/>
      <c r="G98"/>
      <c r="K98" s="235"/>
      <c r="N98"/>
      <c r="O98"/>
      <c r="P98"/>
      <c r="Q98"/>
    </row>
    <row r="99" spans="2:17">
      <c r="B99"/>
      <c r="C99"/>
      <c r="F99"/>
      <c r="G99"/>
      <c r="K99" s="235"/>
      <c r="N99"/>
      <c r="O99"/>
      <c r="P99"/>
      <c r="Q99"/>
    </row>
    <row r="100" spans="2:17">
      <c r="B100"/>
      <c r="C100"/>
      <c r="F100"/>
      <c r="G100"/>
      <c r="K100" s="235"/>
      <c r="N100"/>
      <c r="O100"/>
      <c r="P100"/>
      <c r="Q100"/>
    </row>
    <row r="101" spans="2:17">
      <c r="B101"/>
      <c r="C101"/>
      <c r="F101"/>
      <c r="G101"/>
      <c r="K101" s="235"/>
      <c r="N101"/>
      <c r="O101"/>
      <c r="P101"/>
      <c r="Q101"/>
    </row>
    <row r="102" spans="2:17">
      <c r="B102"/>
      <c r="C102"/>
      <c r="F102"/>
      <c r="G102"/>
      <c r="K102" s="235"/>
      <c r="N102"/>
      <c r="O102"/>
      <c r="P102"/>
      <c r="Q102"/>
    </row>
  </sheetData>
  <sheetProtection password="A5F4" sheet="1" objects="1" scenarios="1" selectLockedCells="1"/>
  <mergeCells count="8">
    <mergeCell ref="B78:C78"/>
    <mergeCell ref="D8:J8"/>
    <mergeCell ref="B15:J15"/>
    <mergeCell ref="A18:A19"/>
    <mergeCell ref="B18:B19"/>
    <mergeCell ref="D18:E18"/>
    <mergeCell ref="H18:H19"/>
    <mergeCell ref="I18:I19"/>
  </mergeCells>
  <hyperlinks>
    <hyperlink ref="B78" location="sommaire!A1" display="RETOUR AU SOMMAIRE"/>
    <hyperlink ref="C78" location="sommaire!A1" display="sommaire!A1"/>
  </hyperlinks>
  <pageMargins left="0.75" right="0.75" top="1" bottom="1" header="0.5" footer="0.5"/>
  <ignoredErrors>
    <ignoredError sqref="K75 K46" emptyCellReference="1"/>
  </ignoredErrors>
  <extLst>
    <ext xmlns:x14="http://schemas.microsoft.com/office/spreadsheetml/2009/9/main" uri="{CCE6A557-97BC-4b89-ADB6-D9C93CAAB3DF}">
      <x14:dataValidations xmlns:xm="http://schemas.microsoft.com/office/excel/2006/main" count="1">
        <x14:dataValidation type="list" allowBlank="1" showInputMessage="1" showErrorMessage="1">
          <x14:formula1>
            <xm:f>d!$A$21:$A$23</xm:f>
          </x14:formula1>
          <xm:sqref>D5</xm:sqref>
        </x14:dataValidation>
      </x14:dataValidations>
    </ext>
    <ext xmlns:mx="http://schemas.microsoft.com/office/mac/excel/2008/main" uri="{64002731-A6B0-56B0-2670-7721B7C09600}">
      <mx:PLV Mode="0" OnePage="0" WScale="0"/>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2"/>
  <sheetViews>
    <sheetView topLeftCell="J31" workbookViewId="0">
      <selection activeCell="J31" sqref="A1:XFD1048576"/>
    </sheetView>
  </sheetViews>
  <sheetFormatPr baseColWidth="10" defaultRowHeight="15" x14ac:dyDescent="0"/>
  <cols>
    <col min="1" max="1" width="8.6640625" hidden="1" customWidth="1"/>
    <col min="2" max="2" width="20.83203125" hidden="1" customWidth="1"/>
    <col min="3" max="9" width="0" hidden="1" customWidth="1"/>
  </cols>
  <sheetData>
    <row r="1" spans="1:7">
      <c r="A1" s="81"/>
      <c r="B1" s="82" t="s">
        <v>66</v>
      </c>
    </row>
    <row r="2" spans="1:7">
      <c r="A2" s="9" t="s">
        <v>67</v>
      </c>
      <c r="B2" s="343">
        <f>bilan!C14+(bilan!D14*80)+(bilan!E14*280)+bilan!G14</f>
        <v>2860</v>
      </c>
      <c r="D2" s="84" t="s">
        <v>81</v>
      </c>
      <c r="E2" s="6"/>
    </row>
    <row r="3" spans="1:7">
      <c r="A3" s="9" t="s">
        <v>68</v>
      </c>
      <c r="B3" s="343">
        <f>bilan!C15+(bilan!D15*80)+(bilan!E15*280)+bilan!G15</f>
        <v>2412</v>
      </c>
      <c r="D3" s="85" t="e">
        <f>(7000*((bilan!#REF!-bilan!#REF!)*2))/28</f>
        <v>#REF!</v>
      </c>
      <c r="E3" s="80"/>
    </row>
    <row r="4" spans="1:7">
      <c r="A4" s="9" t="s">
        <v>69</v>
      </c>
      <c r="B4" s="343">
        <f>bilan!C16+(bilan!D16*80)+(bilan!E16*280)+bilan!G16</f>
        <v>2500</v>
      </c>
    </row>
    <row r="5" spans="1:7">
      <c r="A5" s="9" t="s">
        <v>70</v>
      </c>
      <c r="B5" s="343">
        <f>bilan!C17+(bilan!D17*80)+(bilan!E17*280)+bilan!G17</f>
        <v>2740</v>
      </c>
      <c r="D5" s="84" t="s">
        <v>87</v>
      </c>
      <c r="E5" s="6"/>
    </row>
    <row r="6" spans="1:7">
      <c r="A6" s="9" t="s">
        <v>71</v>
      </c>
      <c r="B6" s="343">
        <f>bilan!C18+(bilan!D18*80)+(bilan!E18*280)+bilan!G18</f>
        <v>2100</v>
      </c>
      <c r="D6" s="9">
        <v>0</v>
      </c>
      <c r="E6" s="7"/>
    </row>
    <row r="7" spans="1:7">
      <c r="A7" s="9" t="s">
        <v>72</v>
      </c>
      <c r="B7" s="343">
        <f>bilan!C19+(bilan!D19*80)+(bilan!E19*280)+bilan!G19</f>
        <v>2560</v>
      </c>
      <c r="D7" s="9">
        <v>1</v>
      </c>
      <c r="E7" s="7"/>
    </row>
    <row r="8" spans="1:7">
      <c r="A8" s="9" t="s">
        <v>73</v>
      </c>
      <c r="B8" s="343">
        <f>bilan!C20+(bilan!D20*80)+(bilan!E20*280)+bilan!G20</f>
        <v>2792</v>
      </c>
      <c r="D8" s="83">
        <v>2</v>
      </c>
      <c r="E8" s="80"/>
    </row>
    <row r="9" spans="1:7">
      <c r="A9" s="9"/>
      <c r="B9" s="343">
        <f>bilan!C21+(bilan!D21*80)+(bilan!E21*280)+bilan!G21</f>
        <v>0</v>
      </c>
    </row>
    <row r="10" spans="1:7">
      <c r="A10" s="9" t="s">
        <v>74</v>
      </c>
      <c r="B10" s="343">
        <f>bilan!C22+(bilan!D22*80)+(bilan!E22*280)+bilan!G22</f>
        <v>2800</v>
      </c>
      <c r="D10" s="456" t="s">
        <v>89</v>
      </c>
      <c r="E10" s="168"/>
      <c r="F10" s="168"/>
      <c r="G10" s="6"/>
    </row>
    <row r="11" spans="1:7">
      <c r="A11" s="9" t="s">
        <v>75</v>
      </c>
      <c r="B11" s="343">
        <f>bilan!C23+(bilan!D23*80)+(bilan!E23*280)+bilan!G23</f>
        <v>2716</v>
      </c>
      <c r="D11" s="501" t="s">
        <v>90</v>
      </c>
      <c r="E11" s="502"/>
      <c r="F11" s="502"/>
      <c r="G11" s="503"/>
    </row>
    <row r="12" spans="1:7">
      <c r="A12" s="9" t="s">
        <v>76</v>
      </c>
      <c r="B12" s="343">
        <f>bilan!C24+(bilan!D24*80)+(bilan!E24*280)+bilan!G24</f>
        <v>2150</v>
      </c>
      <c r="D12" s="501"/>
      <c r="E12" s="502"/>
      <c r="F12" s="502"/>
      <c r="G12" s="503"/>
    </row>
    <row r="13" spans="1:7">
      <c r="A13" s="9" t="s">
        <v>77</v>
      </c>
      <c r="B13" s="343">
        <f>bilan!C25+(bilan!D25*80)+(bilan!E25*280)+bilan!G25</f>
        <v>2556</v>
      </c>
      <c r="D13" s="501"/>
      <c r="E13" s="502"/>
      <c r="F13" s="502"/>
      <c r="G13" s="503"/>
    </row>
    <row r="14" spans="1:7">
      <c r="A14" s="9" t="s">
        <v>78</v>
      </c>
      <c r="B14" s="343">
        <f>bilan!C26+(bilan!D26*80)+(bilan!E26*280)+bilan!G26</f>
        <v>2200</v>
      </c>
      <c r="D14" s="504"/>
      <c r="E14" s="505"/>
      <c r="F14" s="505"/>
      <c r="G14" s="506"/>
    </row>
    <row r="15" spans="1:7">
      <c r="A15" s="9" t="s">
        <v>79</v>
      </c>
      <c r="B15" s="343">
        <f>bilan!C27+(bilan!D27*80)+(bilan!E27*280)+bilan!G27</f>
        <v>2660</v>
      </c>
    </row>
    <row r="16" spans="1:7">
      <c r="A16" s="9" t="s">
        <v>80</v>
      </c>
      <c r="B16" s="343">
        <f>bilan!C28+(bilan!D28*80)+(bilan!E28*280)+bilan!G28</f>
        <v>2600</v>
      </c>
    </row>
    <row r="17" spans="1:6">
      <c r="A17" s="83" t="s">
        <v>6</v>
      </c>
      <c r="B17" s="344">
        <f>SUM(B2:B16)</f>
        <v>35646</v>
      </c>
    </row>
    <row r="19" spans="1:6">
      <c r="A19" s="79" t="s">
        <v>65</v>
      </c>
    </row>
    <row r="20" spans="1:6">
      <c r="A20" s="11" t="s">
        <v>20</v>
      </c>
      <c r="B20" s="6"/>
    </row>
    <row r="21" spans="1:6">
      <c r="A21" s="8" t="s">
        <v>10</v>
      </c>
      <c r="B21" s="7"/>
    </row>
    <row r="22" spans="1:6">
      <c r="A22" s="9" t="s">
        <v>30</v>
      </c>
      <c r="B22" s="10" t="s">
        <v>802</v>
      </c>
    </row>
    <row r="23" spans="1:6">
      <c r="A23" s="9" t="s">
        <v>31</v>
      </c>
      <c r="B23" s="10" t="s">
        <v>803</v>
      </c>
    </row>
    <row r="24" spans="1:6" ht="47" customHeight="1">
      <c r="A24" s="510" t="s">
        <v>687</v>
      </c>
      <c r="B24" s="511"/>
      <c r="C24" s="511"/>
      <c r="D24" s="511"/>
      <c r="E24" s="511"/>
      <c r="F24" s="511"/>
    </row>
    <row r="26" spans="1:6">
      <c r="A26" s="14" t="s">
        <v>21</v>
      </c>
    </row>
    <row r="27" spans="1:6">
      <c r="A27" s="12">
        <v>2500</v>
      </c>
    </row>
    <row r="28" spans="1:6">
      <c r="A28" s="12">
        <v>2400</v>
      </c>
    </row>
    <row r="29" spans="1:6">
      <c r="A29" s="12">
        <v>2300</v>
      </c>
    </row>
    <row r="30" spans="1:6">
      <c r="A30" s="12">
        <v>2200</v>
      </c>
    </row>
    <row r="31" spans="1:6">
      <c r="A31" s="12">
        <f>2100</f>
        <v>2100</v>
      </c>
    </row>
    <row r="32" spans="1:6">
      <c r="A32" s="12">
        <v>2000</v>
      </c>
    </row>
    <row r="33" spans="1:9">
      <c r="A33" s="12">
        <v>1900</v>
      </c>
    </row>
    <row r="34" spans="1:9">
      <c r="A34" s="12">
        <v>1800</v>
      </c>
    </row>
    <row r="35" spans="1:9">
      <c r="A35" s="12">
        <v>1700</v>
      </c>
    </row>
    <row r="36" spans="1:9">
      <c r="A36" s="12">
        <v>1600</v>
      </c>
    </row>
    <row r="37" spans="1:9">
      <c r="A37" s="13">
        <v>1500</v>
      </c>
    </row>
    <row r="39" spans="1:9">
      <c r="A39" s="3" t="s">
        <v>13</v>
      </c>
    </row>
    <row r="40" spans="1:9">
      <c r="A40" s="3" t="s">
        <v>14</v>
      </c>
    </row>
    <row r="41" spans="1:9">
      <c r="A41" s="3" t="s">
        <v>15</v>
      </c>
    </row>
    <row r="42" spans="1:9">
      <c r="A42" s="3" t="s">
        <v>9</v>
      </c>
    </row>
    <row r="43" spans="1:9">
      <c r="A43" s="3" t="s">
        <v>16</v>
      </c>
    </row>
    <row r="44" spans="1:9">
      <c r="A44" s="3" t="s">
        <v>27</v>
      </c>
    </row>
    <row r="45" spans="1:9">
      <c r="A45" s="3" t="s">
        <v>28</v>
      </c>
    </row>
    <row r="46" spans="1:9">
      <c r="A46" s="3" t="s">
        <v>34</v>
      </c>
    </row>
    <row r="47" spans="1:9">
      <c r="A47" s="3" t="s">
        <v>17</v>
      </c>
    </row>
    <row r="48" spans="1:9" ht="59" customHeight="1">
      <c r="A48" s="507" t="s">
        <v>37</v>
      </c>
      <c r="B48" s="508"/>
      <c r="C48" s="508"/>
      <c r="D48" s="508"/>
      <c r="E48" s="508"/>
      <c r="F48" s="509"/>
      <c r="G48" s="2"/>
      <c r="H48" s="2" t="s">
        <v>685</v>
      </c>
      <c r="I48" s="457">
        <v>111</v>
      </c>
    </row>
    <row r="49" spans="1:9" ht="46" customHeight="1">
      <c r="A49" s="507" t="s">
        <v>681</v>
      </c>
      <c r="B49" s="508"/>
      <c r="C49" s="508"/>
      <c r="D49" s="508"/>
      <c r="E49" s="508"/>
      <c r="F49" s="509"/>
      <c r="G49" s="2"/>
      <c r="H49" s="2" t="s">
        <v>682</v>
      </c>
      <c r="I49" s="457">
        <v>222</v>
      </c>
    </row>
    <row r="50" spans="1:9" ht="42" customHeight="1">
      <c r="A50" s="507" t="s">
        <v>686</v>
      </c>
      <c r="B50" s="508"/>
      <c r="C50" s="508"/>
      <c r="D50" s="508"/>
      <c r="E50" s="508"/>
      <c r="F50" s="509"/>
      <c r="G50" s="2"/>
      <c r="H50" s="458">
        <v>0</v>
      </c>
      <c r="I50" s="2">
        <v>333</v>
      </c>
    </row>
    <row r="51" spans="1:9" ht="53" customHeight="1">
      <c r="A51" s="507" t="s">
        <v>680</v>
      </c>
      <c r="B51" s="508"/>
      <c r="C51" s="508"/>
      <c r="D51" s="508"/>
      <c r="E51" s="508"/>
      <c r="F51" s="509"/>
      <c r="G51" s="2"/>
      <c r="H51" s="2" t="s">
        <v>683</v>
      </c>
      <c r="I51" s="457">
        <v>444</v>
      </c>
    </row>
    <row r="52" spans="1:9" ht="43" customHeight="1">
      <c r="A52" s="507" t="s">
        <v>38</v>
      </c>
      <c r="B52" s="508"/>
      <c r="C52" s="508"/>
      <c r="D52" s="508"/>
      <c r="E52" s="508"/>
      <c r="F52" s="509"/>
      <c r="G52" s="2"/>
      <c r="H52" s="2" t="s">
        <v>684</v>
      </c>
      <c r="I52" s="457">
        <v>555</v>
      </c>
    </row>
  </sheetData>
  <sheetProtection password="A5F4" sheet="1" objects="1" scenarios="1" selectLockedCells="1" selectUnlockedCells="1"/>
  <mergeCells count="7">
    <mergeCell ref="D11:G14"/>
    <mergeCell ref="A49:F49"/>
    <mergeCell ref="A51:F51"/>
    <mergeCell ref="A50:F50"/>
    <mergeCell ref="A52:F52"/>
    <mergeCell ref="A24:F24"/>
    <mergeCell ref="A48:F48"/>
  </mergeCell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31</vt:i4>
      </vt:variant>
    </vt:vector>
  </HeadingPairs>
  <TitlesOfParts>
    <vt:vector size="31" baseType="lpstr">
      <vt:lpstr>sommaire</vt:lpstr>
      <vt:lpstr>bilan</vt:lpstr>
      <vt:lpstr>jour_1</vt:lpstr>
      <vt:lpstr>jour_2</vt:lpstr>
      <vt:lpstr>jour_3</vt:lpstr>
      <vt:lpstr>jour_4</vt:lpstr>
      <vt:lpstr>jour_5</vt:lpstr>
      <vt:lpstr>jour_6</vt:lpstr>
      <vt:lpstr>jour_7</vt:lpstr>
      <vt:lpstr>jour_8</vt:lpstr>
      <vt:lpstr>jour_9</vt:lpstr>
      <vt:lpstr>jour_10</vt:lpstr>
      <vt:lpstr>jour_11</vt:lpstr>
      <vt:lpstr>jour_12</vt:lpstr>
      <vt:lpstr>jour_13</vt:lpstr>
      <vt:lpstr>jour_14</vt:lpstr>
      <vt:lpstr>jour_15</vt:lpstr>
      <vt:lpstr>jour_16</vt:lpstr>
      <vt:lpstr>jour_17</vt:lpstr>
      <vt:lpstr>jour_18</vt:lpstr>
      <vt:lpstr>jour_19</vt:lpstr>
      <vt:lpstr>jour_20</vt:lpstr>
      <vt:lpstr>jour_21</vt:lpstr>
      <vt:lpstr>jour_22</vt:lpstr>
      <vt:lpstr>jour_23</vt:lpstr>
      <vt:lpstr>jour_24</vt:lpstr>
      <vt:lpstr>jour_25</vt:lpstr>
      <vt:lpstr>jour_26</vt:lpstr>
      <vt:lpstr>jour_27</vt:lpstr>
      <vt:lpstr>jour_28</vt:lpstr>
      <vt:lpstr>d</vt:lpstr>
    </vt:vector>
  </TitlesOfParts>
  <Company>Office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 Microsoft</dc:creator>
  <cp:lastModifiedBy>Christian Microsoft</cp:lastModifiedBy>
  <dcterms:created xsi:type="dcterms:W3CDTF">2018-12-06T13:39:15Z</dcterms:created>
  <dcterms:modified xsi:type="dcterms:W3CDTF">2019-06-04T09:20:30Z</dcterms:modified>
</cp:coreProperties>
</file>